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ofnelincoln.sharepoint.com/sites/UNL-GSAExecutiveCommittee-AcademicAffairs/Shared Documents/Academic Affairs/"/>
    </mc:Choice>
  </mc:AlternateContent>
  <xr:revisionPtr revIDLastSave="977" documentId="11_BF23855EAE6B7501A35C92838333A2AE2C73F5DA" xr6:coauthVersionLast="47" xr6:coauthVersionMax="47" xr10:uidLastSave="{174F6353-BC77-42F8-BFCD-BF0790067933}"/>
  <bookViews>
    <workbookView xWindow="-98" yWindow="-98" windowWidth="24496" windowHeight="15796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6" i="1" s="1"/>
  <c r="L21" i="1" s="1"/>
  <c r="O11" i="1"/>
  <c r="O8" i="1"/>
  <c r="N12" i="1"/>
  <c r="M9" i="1"/>
  <c r="M8" i="1"/>
  <c r="I9" i="1"/>
  <c r="C20" i="1"/>
  <c r="B20" i="1"/>
  <c r="B16" i="1"/>
  <c r="B15" i="1"/>
  <c r="I11" i="1"/>
  <c r="I4" i="1"/>
  <c r="I3" i="1" s="1"/>
  <c r="G12" i="1"/>
  <c r="E10" i="1"/>
  <c r="E9" i="1"/>
  <c r="E16" i="1" s="1"/>
  <c r="E21" i="1" s="1"/>
  <c r="E11" i="1"/>
  <c r="E12" i="1"/>
  <c r="E8" i="1"/>
  <c r="D12" i="1"/>
  <c r="B11" i="1"/>
  <c r="O9" i="1"/>
  <c r="N10" i="1"/>
  <c r="N8" i="1"/>
  <c r="L12" i="1"/>
  <c r="L10" i="1"/>
  <c r="K8" i="1"/>
  <c r="K10" i="1"/>
  <c r="J9" i="1"/>
  <c r="J8" i="1"/>
  <c r="I12" i="1"/>
  <c r="I8" i="1"/>
  <c r="H16" i="1"/>
  <c r="H21" i="1" s="1"/>
  <c r="H12" i="1"/>
  <c r="H15" i="1" s="1"/>
  <c r="H20" i="1" s="1"/>
  <c r="F16" i="1"/>
  <c r="F21" i="1" s="1"/>
  <c r="F8" i="1"/>
  <c r="F15" i="1" s="1"/>
  <c r="F20" i="1" s="1"/>
  <c r="B8" i="1"/>
  <c r="D9" i="1"/>
  <c r="D16" i="1" s="1"/>
  <c r="D21" i="1" s="1"/>
  <c r="D8" i="1"/>
  <c r="D15" i="1" s="1"/>
  <c r="D20" i="1" s="1"/>
  <c r="C16" i="1"/>
  <c r="C21" i="1" s="1"/>
  <c r="C15" i="1"/>
  <c r="B12" i="1"/>
  <c r="B9" i="1"/>
  <c r="B21" i="1" s="1"/>
  <c r="K10" i="2"/>
  <c r="K9" i="2"/>
  <c r="I7" i="2"/>
  <c r="C6" i="2"/>
  <c r="E6" i="2"/>
  <c r="F6" i="2"/>
  <c r="I6" i="2"/>
  <c r="J6" i="2"/>
  <c r="K6" i="2"/>
  <c r="M6" i="2"/>
  <c r="N6" i="2"/>
  <c r="O6" i="2"/>
  <c r="L4" i="2"/>
  <c r="L6" i="2" s="1"/>
  <c r="H4" i="2"/>
  <c r="H6" i="2" s="1"/>
  <c r="G4" i="2"/>
  <c r="G6" i="2" s="1"/>
  <c r="D4" i="2"/>
  <c r="D6" i="2" s="1"/>
  <c r="B4" i="2"/>
  <c r="B6" i="2" s="1"/>
  <c r="K11" i="1"/>
  <c r="K16" i="1" s="1"/>
  <c r="K21" i="1" s="1"/>
  <c r="K12" i="1"/>
  <c r="J3" i="1"/>
  <c r="G3" i="1"/>
  <c r="L15" i="1" l="1"/>
  <c r="L20" i="1" s="1"/>
  <c r="E15" i="1"/>
  <c r="E20" i="1" s="1"/>
  <c r="O15" i="1"/>
  <c r="O20" i="1" s="1"/>
  <c r="O16" i="1"/>
  <c r="O21" i="1" s="1"/>
  <c r="N15" i="1"/>
  <c r="N20" i="1" s="1"/>
  <c r="N16" i="1"/>
  <c r="N21" i="1" s="1"/>
  <c r="M15" i="1"/>
  <c r="M20" i="1" s="1"/>
  <c r="M16" i="1"/>
  <c r="M21" i="1" s="1"/>
  <c r="I15" i="1"/>
  <c r="I20" i="1" s="1"/>
  <c r="I16" i="1"/>
  <c r="I21" i="1" s="1"/>
  <c r="J15" i="1"/>
  <c r="J20" i="1" s="1"/>
  <c r="J16" i="1"/>
  <c r="J21" i="1" s="1"/>
  <c r="K15" i="1"/>
  <c r="K20" i="1" s="1"/>
  <c r="G15" i="1"/>
  <c r="G20" i="1" s="1"/>
  <c r="G16" i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Donesky</author>
  </authors>
  <commentList>
    <comment ref="L3" authorId="0" shapeId="0" xr:uid="{BEF8AEC2-5527-4EAF-8EF2-0C1A03DE3BEA}">
      <text>
        <r>
          <rPr>
            <b/>
            <sz val="9"/>
            <color indexed="81"/>
            <rFont val="Tahoma"/>
            <family val="2"/>
          </rPr>
          <t>Andrew Donesky:</t>
        </r>
        <r>
          <rPr>
            <sz val="9"/>
            <color indexed="81"/>
            <rFont val="Tahoma"/>
            <family val="2"/>
          </rPr>
          <t xml:space="preserve">
Minimum value, there is a higher average also listed on the page</t>
        </r>
      </text>
    </comment>
    <comment ref="I9" authorId="0" shapeId="0" xr:uid="{F79695D2-AE7D-431E-B674-C0997F21107C}">
      <text>
        <r>
          <rPr>
            <b/>
            <sz val="9"/>
            <color indexed="81"/>
            <rFont val="Tahoma"/>
            <family val="2"/>
          </rPr>
          <t>Andrew Donesky:</t>
        </r>
        <r>
          <rPr>
            <sz val="9"/>
            <color indexed="81"/>
            <rFont val="Tahoma"/>
            <family val="2"/>
          </rPr>
          <t xml:space="preserve">
Estimated from tuition and fees by subtracting tuition</t>
        </r>
      </text>
    </comment>
    <comment ref="D10" authorId="0" shapeId="0" xr:uid="{6BD62CF6-A92B-4425-98E8-ECB8EC5FEAF9}">
      <text>
        <r>
          <rPr>
            <b/>
            <sz val="9"/>
            <color indexed="81"/>
            <rFont val="Tahoma"/>
            <family val="2"/>
          </rPr>
          <t>Andrew Donesky:</t>
        </r>
        <r>
          <rPr>
            <sz val="9"/>
            <color indexed="81"/>
            <rFont val="Tahoma"/>
            <family val="2"/>
          </rPr>
          <t xml:space="preserve">
available, but not guaranteed</t>
        </r>
      </text>
    </comment>
    <comment ref="M10" authorId="0" shapeId="0" xr:uid="{E0A7C648-F7AC-4C28-8E8D-A267CE2B0E53}">
      <text>
        <r>
          <rPr>
            <b/>
            <sz val="9"/>
            <color indexed="81"/>
            <rFont val="Tahoma"/>
            <family val="2"/>
          </rPr>
          <t>Andrew Donesky:</t>
        </r>
        <r>
          <rPr>
            <sz val="9"/>
            <color indexed="81"/>
            <rFont val="Tahoma"/>
            <family val="2"/>
          </rPr>
          <t xml:space="preserve">
Is avalible, but assuming none</t>
        </r>
      </text>
    </comment>
    <comment ref="O11" authorId="0" shapeId="0" xr:uid="{E41F5FD5-9A06-4F5E-8D12-3CA11FD1DE2D}">
      <text>
        <r>
          <rPr>
            <b/>
            <sz val="9"/>
            <color indexed="81"/>
            <rFont val="Tahoma"/>
            <family val="2"/>
          </rPr>
          <t>Andrew Donesky:</t>
        </r>
        <r>
          <rPr>
            <sz val="9"/>
            <color indexed="81"/>
            <rFont val="Tahoma"/>
            <family val="2"/>
          </rPr>
          <t xml:space="preserve">
Lower tier avalible as well</t>
        </r>
      </text>
    </comment>
    <comment ref="F12" authorId="0" shapeId="0" xr:uid="{CDDD3092-46DE-4EA1-B721-2534B0BB8FC7}">
      <text>
        <r>
          <rPr>
            <b/>
            <sz val="9"/>
            <color indexed="81"/>
            <rFont val="Tahoma"/>
            <family val="2"/>
          </rPr>
          <t>Andrew Donesky:</t>
        </r>
        <r>
          <rPr>
            <sz val="9"/>
            <color indexed="81"/>
            <rFont val="Tahoma"/>
            <family val="2"/>
          </rPr>
          <t xml:space="preserve">
Not found</t>
        </r>
      </text>
    </comment>
    <comment ref="H12" authorId="0" shapeId="0" xr:uid="{0A7AA1EB-5C07-4684-A2B4-5629AFCF1FF4}">
      <text>
        <r>
          <rPr>
            <b/>
            <sz val="9"/>
            <color indexed="81"/>
            <rFont val="Tahoma"/>
            <family val="2"/>
          </rPr>
          <t>Andrew Donesky:</t>
        </r>
        <r>
          <rPr>
            <sz val="9"/>
            <color indexed="81"/>
            <rFont val="Tahoma"/>
            <family val="2"/>
          </rPr>
          <t xml:space="preserve">
Estimated from dependents</t>
        </r>
      </text>
    </comment>
  </commentList>
</comments>
</file>

<file path=xl/sharedStrings.xml><?xml version="1.0" encoding="utf-8"?>
<sst xmlns="http://schemas.openxmlformats.org/spreadsheetml/2006/main" count="106" uniqueCount="70">
  <si>
    <t>UNL</t>
  </si>
  <si>
    <t>Illinois, Urbana</t>
  </si>
  <si>
    <t>IU, Bloomington</t>
  </si>
  <si>
    <t>Iowa</t>
  </si>
  <si>
    <t>Michigan State</t>
  </si>
  <si>
    <t>Minnesota</t>
  </si>
  <si>
    <t>Northwestern</t>
  </si>
  <si>
    <t>Ohio</t>
  </si>
  <si>
    <t>Penn State</t>
  </si>
  <si>
    <t>Perdue</t>
  </si>
  <si>
    <t>Rutgers</t>
  </si>
  <si>
    <t>Wisconsin</t>
  </si>
  <si>
    <t>1 semester</t>
  </si>
  <si>
    <t>1 yr</t>
  </si>
  <si>
    <t>at 0.49fte</t>
  </si>
  <si>
    <t>tuition remission (assume resident)</t>
  </si>
  <si>
    <t>fees paid by student</t>
  </si>
  <si>
    <t>fees covered by school</t>
  </si>
  <si>
    <t>insurance paid by student</t>
  </si>
  <si>
    <t>insurance covered by school</t>
  </si>
  <si>
    <t>(insurances and fees for 12 mo)</t>
  </si>
  <si>
    <t>Total Compensation</t>
  </si>
  <si>
    <t>Spending Cash Before Tax</t>
  </si>
  <si>
    <t>MIT living wage</t>
  </si>
  <si>
    <t>Normalized Total Compensation</t>
  </si>
  <si>
    <t>Normalized Cash Before Tax</t>
  </si>
  <si>
    <t>0.49 or 50% FTE</t>
  </si>
  <si>
    <t>Illinois, UC</t>
  </si>
  <si>
    <t>Maryland CP</t>
  </si>
  <si>
    <t>Michigan AA</t>
  </si>
  <si>
    <t>Michigan State EL</t>
  </si>
  <si>
    <t>Rutgers NB</t>
  </si>
  <si>
    <t>Minimum stipend per academic year (10 mo.)</t>
  </si>
  <si>
    <t>Minimum stipend per year (12 mo.)</t>
  </si>
  <si>
    <t>MIT living wage (annual, 1 adult,  required after taxes)</t>
  </si>
  <si>
    <t>living wage minus minimum stipend</t>
  </si>
  <si>
    <t>1100-1500</t>
  </si>
  <si>
    <t>0%(except Miscellaneous fees)</t>
  </si>
  <si>
    <t>550 annual</t>
  </si>
  <si>
    <t>varies</t>
  </si>
  <si>
    <t>fees(tuition) covered by university</t>
  </si>
  <si>
    <t>?</t>
  </si>
  <si>
    <t>100%(except Miscellaneous fees)</t>
  </si>
  <si>
    <t>full</t>
  </si>
  <si>
    <t>insurance paid by the student</t>
  </si>
  <si>
    <t>insurance covered by the university</t>
  </si>
  <si>
    <t>100%($1790)</t>
  </si>
  <si>
    <t>100%($310/month)</t>
  </si>
  <si>
    <t>Summer Tuition &amp; Student Initiated Fee</t>
  </si>
  <si>
    <t>$1256 per credit plus $162</t>
  </si>
  <si>
    <t>Value of Total Support Package</t>
  </si>
  <si>
    <t>inflation rates over 10 years</t>
  </si>
  <si>
    <t>Kelley</t>
  </si>
  <si>
    <t>inflation in rent over 10 years</t>
  </si>
  <si>
    <t>increase in insurance over 10 years</t>
  </si>
  <si>
    <t>47% overall increase since 2011 in the US, 4% increase since 2020</t>
  </si>
  <si>
    <t>minimum stipend levels over 10 years</t>
  </si>
  <si>
    <t>source</t>
  </si>
  <si>
    <t>kindly add website links to all data sources from where you get the numbers</t>
  </si>
  <si>
    <t>https://hr.umich.edu/working-u-m/my-employment/academic-human-resources/graduate-student</t>
  </si>
  <si>
    <t>https://hr.msu.edu/benefits/graduate-assistants/health/</t>
  </si>
  <si>
    <t>https://finance.rutgers.edu/student-abc/tuition-fees</t>
  </si>
  <si>
    <t>The Ohio State</t>
  </si>
  <si>
    <t>U of Wisconsin</t>
  </si>
  <si>
    <t>University</t>
  </si>
  <si>
    <t>2 semesters (10mo)</t>
  </si>
  <si>
    <t>U of Michigan</t>
  </si>
  <si>
    <t>U of Maryland</t>
  </si>
  <si>
    <t>U of Iowa</t>
  </si>
  <si>
    <t>Purdue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</si>
</sst>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[$$-409]* #,##0_);_([$$-409]* \(#,##0\);_([$$-409]* &quot;-&quot;??_);_(@_)"/>
    <numFmt numFmtId="167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305496"/>
      <name val="Calibri"/>
      <family val="2"/>
      <scheme val="minor"/>
    </font>
    <font>
      <sz val="11"/>
      <color rgb="FF000000"/>
      <name val="Book Antiqua"/>
      <family val="1"/>
    </font>
    <font>
      <sz val="11"/>
      <color rgb="FFFF0000"/>
      <name val="Book Antiqua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3C4858"/>
      <name val="Nunito Sans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164" fontId="0" fillId="0" borderId="0" xfId="0" applyNumberFormat="1"/>
    <xf numFmtId="8" fontId="0" fillId="0" borderId="0" xfId="0" applyNumberFormat="1"/>
    <xf numFmtId="0" fontId="2" fillId="0" borderId="0" xfId="0" applyFont="1"/>
    <xf numFmtId="165" fontId="2" fillId="0" borderId="0" xfId="0" applyNumberFormat="1" applyFont="1"/>
    <xf numFmtId="165" fontId="3" fillId="0" borderId="0" xfId="0" applyNumberFormat="1" applyFont="1"/>
    <xf numFmtId="164" fontId="2" fillId="0" borderId="0" xfId="0" applyNumberFormat="1" applyFont="1"/>
    <xf numFmtId="10" fontId="3" fillId="0" borderId="0" xfId="0" applyNumberFormat="1" applyFont="1"/>
    <xf numFmtId="0" fontId="4" fillId="0" borderId="0" xfId="1" applyFill="1" applyBorder="1" applyAlignment="1"/>
    <xf numFmtId="10" fontId="4" fillId="0" borderId="0" xfId="1" applyNumberFormat="1" applyFill="1" applyBorder="1" applyAlignment="1"/>
    <xf numFmtId="0" fontId="5" fillId="0" borderId="0" xfId="0" applyFont="1"/>
    <xf numFmtId="10" fontId="2" fillId="0" borderId="0" xfId="0" applyNumberFormat="1" applyFont="1"/>
    <xf numFmtId="6" fontId="4" fillId="0" borderId="0" xfId="1" applyNumberFormat="1" applyFill="1" applyBorder="1" applyAlignment="1"/>
    <xf numFmtId="165" fontId="4" fillId="0" borderId="0" xfId="1" applyNumberFormat="1"/>
    <xf numFmtId="0" fontId="4" fillId="0" borderId="0" xfId="1"/>
    <xf numFmtId="0" fontId="2" fillId="2" borderId="0" xfId="0" applyFont="1" applyFill="1"/>
    <xf numFmtId="165" fontId="2" fillId="2" borderId="0" xfId="0" applyNumberFormat="1" applyFont="1" applyFill="1"/>
    <xf numFmtId="0" fontId="6" fillId="2" borderId="0" xfId="0" applyFont="1" applyFill="1"/>
    <xf numFmtId="0" fontId="7" fillId="0" borderId="0" xfId="0" applyFont="1"/>
    <xf numFmtId="166" fontId="0" fillId="0" borderId="0" xfId="0" applyNumberFormat="1"/>
    <xf numFmtId="166" fontId="1" fillId="0" borderId="0" xfId="0" applyNumberFormat="1" applyFont="1"/>
    <xf numFmtId="167" fontId="0" fillId="0" borderId="0" xfId="2" applyNumberFormat="1" applyFont="1"/>
    <xf numFmtId="166" fontId="4" fillId="0" borderId="0" xfId="1" applyNumberFormat="1"/>
  </cellXfs>
  <cellStyles count="3">
    <cellStyle name="Currency" xfId="2" builtinId="4"/>
    <cellStyle name="Hyperlink" xfId="1" builtinId="8"/>
    <cellStyle name="Normal" xfId="0" builtinId="0"/>
  </cellStyles>
  <dxfs count="6"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  <dxf>
      <numFmt numFmtId="167" formatCode="_(&quot;$&quot;* #,##0_);_(&quot;$&quot;* \(#,##0\);_(&quot;$&quot;* &quot;-&quot;??_);_(@_)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Normalized</a:t>
            </a:r>
            <a:r>
              <a:rPr lang="en-US" baseline="0"/>
              <a:t> Total Compensation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Sheet1!$B$1:$O$1</c:f>
              <c:strCache>
                <c:ptCount val="14"/>
                <c:pt idx="0">
                  <c:v>UNL</c:v>
                </c:pt>
                <c:pt idx="1">
                  <c:v>Illinois, Urbana</c:v>
                </c:pt>
                <c:pt idx="2">
                  <c:v>IU, Bloomington</c:v>
                </c:pt>
                <c:pt idx="3">
                  <c:v>U of Iowa</c:v>
                </c:pt>
                <c:pt idx="4">
                  <c:v>U of Maryland</c:v>
                </c:pt>
                <c:pt idx="5">
                  <c:v>U of Michigan</c:v>
                </c:pt>
                <c:pt idx="6">
                  <c:v>Michigan State</c:v>
                </c:pt>
                <c:pt idx="7">
                  <c:v>Minnesota</c:v>
                </c:pt>
                <c:pt idx="8">
                  <c:v>Northwestern</c:v>
                </c:pt>
                <c:pt idx="9">
                  <c:v>The Ohio State</c:v>
                </c:pt>
                <c:pt idx="10">
                  <c:v>Penn State</c:v>
                </c:pt>
                <c:pt idx="11">
                  <c:v>Purdue</c:v>
                </c:pt>
                <c:pt idx="12">
                  <c:v>Rutgers</c:v>
                </c:pt>
                <c:pt idx="13">
                  <c:v>U of Wisconsin</c:v>
                </c:pt>
              </c:strCache>
            </c:strRef>
          </c:cat>
          <c:val>
            <c:numRef>
              <c:f>Sheet1!$B$20:$O$20</c:f>
              <c:numCache>
                <c:formatCode>_([$$-409]* #,##0_);_([$$-409]* \(#,##0\);_([$$-409]* "-"??_);_(@_)</c:formatCode>
                <c:ptCount val="14"/>
                <c:pt idx="0">
                  <c:v>17869.182799999999</c:v>
                </c:pt>
                <c:pt idx="1">
                  <c:v>24804.495725058558</c:v>
                </c:pt>
                <c:pt idx="2">
                  <c:v>26106.560831208742</c:v>
                </c:pt>
                <c:pt idx="3">
                  <c:v>37806.840933763786</c:v>
                </c:pt>
                <c:pt idx="4">
                  <c:v>22558.479632235212</c:v>
                </c:pt>
                <c:pt idx="5">
                  <c:v>36943.963611376159</c:v>
                </c:pt>
                <c:pt idx="6">
                  <c:v>36009.208645409803</c:v>
                </c:pt>
                <c:pt idx="7">
                  <c:v>32604.053805141604</c:v>
                </c:pt>
                <c:pt idx="8">
                  <c:v>72713.233351986564</c:v>
                </c:pt>
                <c:pt idx="9">
                  <c:v>33022.024051727123</c:v>
                </c:pt>
                <c:pt idx="10">
                  <c:v>44324.689420492054</c:v>
                </c:pt>
                <c:pt idx="11">
                  <c:v>25946.057166356746</c:v>
                </c:pt>
                <c:pt idx="12">
                  <c:v>32910.781758957652</c:v>
                </c:pt>
                <c:pt idx="13">
                  <c:v>26403.880581615253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E-4D58-8BB2-FE6530672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513887"/>
        <c:axId val="525487679"/>
      </c:barChart>
      <c:catAx>
        <c:axId val="5255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487679"/>
        <c:crosses val="autoZero"/>
        <c:auto val="1"/>
        <c:lblAlgn val="ctr"/>
        <c:lblOffset val="100"/>
        <c:noMultiLvlLbl val="0"/>
      </c:catAx>
      <c:valAx>
        <c:axId val="52548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_);_([$$-409]* \(#,##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513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Normalized</a:t>
            </a:r>
            <a:r>
              <a:rPr lang="en-US" baseline="0"/>
              <a:t> Cash Before Tax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Sheet1!$B$1:$O$1</c:f>
              <c:strCache>
                <c:ptCount val="14"/>
                <c:pt idx="0">
                  <c:v>UNL</c:v>
                </c:pt>
                <c:pt idx="1">
                  <c:v>Illinois, Urbana</c:v>
                </c:pt>
                <c:pt idx="2">
                  <c:v>IU, Bloomington</c:v>
                </c:pt>
                <c:pt idx="3">
                  <c:v>U of Iowa</c:v>
                </c:pt>
                <c:pt idx="4">
                  <c:v>U of Maryland</c:v>
                </c:pt>
                <c:pt idx="5">
                  <c:v>U of Michigan</c:v>
                </c:pt>
                <c:pt idx="6">
                  <c:v>Michigan State</c:v>
                </c:pt>
                <c:pt idx="7">
                  <c:v>Minnesota</c:v>
                </c:pt>
                <c:pt idx="8">
                  <c:v>Northwestern</c:v>
                </c:pt>
                <c:pt idx="9">
                  <c:v>The Ohio State</c:v>
                </c:pt>
                <c:pt idx="10">
                  <c:v>Penn State</c:v>
                </c:pt>
                <c:pt idx="11">
                  <c:v>Purdue</c:v>
                </c:pt>
                <c:pt idx="12">
                  <c:v>Rutgers</c:v>
                </c:pt>
                <c:pt idx="13">
                  <c:v>U of Wisconsin</c:v>
                </c:pt>
              </c:strCache>
            </c:strRef>
          </c:cat>
          <c:val>
            <c:numRef>
              <c:f>Sheet1!$B$21:$O$21</c:f>
              <c:numCache>
                <c:formatCode>_([$$-409]* #,##0_);_([$$-409]* \(#,##0\);_([$$-409]* "-"??_);_(@_)</c:formatCode>
                <c:ptCount val="14"/>
                <c:pt idx="0">
                  <c:v>9105.8863999999994</c:v>
                </c:pt>
                <c:pt idx="1">
                  <c:v>9157.6102313641168</c:v>
                </c:pt>
                <c:pt idx="2">
                  <c:v>14520.475541508051</c:v>
                </c:pt>
                <c:pt idx="3">
                  <c:v>21222.750273175574</c:v>
                </c:pt>
                <c:pt idx="4">
                  <c:v>12290.918427053515</c:v>
                </c:pt>
                <c:pt idx="5">
                  <c:v>21704.728577980241</c:v>
                </c:pt>
                <c:pt idx="6">
                  <c:v>16833.99928668236</c:v>
                </c:pt>
                <c:pt idx="7">
                  <c:v>14906.703420750757</c:v>
                </c:pt>
                <c:pt idx="8">
                  <c:v>22155.010543987275</c:v>
                </c:pt>
                <c:pt idx="9">
                  <c:v>21859.697437847932</c:v>
                </c:pt>
                <c:pt idx="10">
                  <c:v>21237.17725524892</c:v>
                </c:pt>
                <c:pt idx="11">
                  <c:v>13564.149964239736</c:v>
                </c:pt>
                <c:pt idx="12">
                  <c:v>24859.879774948178</c:v>
                </c:pt>
                <c:pt idx="13">
                  <c:v>14847.655061230817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E-4452-9C7A-EDA9B3EF9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513887"/>
        <c:axId val="525487679"/>
      </c:barChart>
      <c:catAx>
        <c:axId val="5255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487679"/>
        <c:crosses val="autoZero"/>
        <c:auto val="1"/>
        <c:lblAlgn val="ctr"/>
        <c:lblOffset val="100"/>
        <c:noMultiLvlLbl val="0"/>
      </c:catAx>
      <c:valAx>
        <c:axId val="52548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_);_([$$-409]* \(#,##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513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</a:t>
            </a:r>
            <a:r>
              <a:rPr lang="en-US" baseline="0"/>
              <a:t>Compensation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Sheet1!$B$1:$O$1</c:f>
              <c:strCache>
                <c:ptCount val="14"/>
                <c:pt idx="0">
                  <c:v>UNL</c:v>
                </c:pt>
                <c:pt idx="1">
                  <c:v>Illinois, Urbana</c:v>
                </c:pt>
                <c:pt idx="2">
                  <c:v>IU, Bloomington</c:v>
                </c:pt>
                <c:pt idx="3">
                  <c:v>U of Iowa</c:v>
                </c:pt>
                <c:pt idx="4">
                  <c:v>U of Maryland</c:v>
                </c:pt>
                <c:pt idx="5">
                  <c:v>U of Michigan</c:v>
                </c:pt>
                <c:pt idx="6">
                  <c:v>Michigan State</c:v>
                </c:pt>
                <c:pt idx="7">
                  <c:v>Minnesota</c:v>
                </c:pt>
                <c:pt idx="8">
                  <c:v>Northwestern</c:v>
                </c:pt>
                <c:pt idx="9">
                  <c:v>The Ohio State</c:v>
                </c:pt>
                <c:pt idx="10">
                  <c:v>Penn State</c:v>
                </c:pt>
                <c:pt idx="11">
                  <c:v>Purdue</c:v>
                </c:pt>
                <c:pt idx="12">
                  <c:v>Rutgers</c:v>
                </c:pt>
                <c:pt idx="13">
                  <c:v>U of Wisconsin</c:v>
                </c:pt>
              </c:strCache>
            </c:strRef>
          </c:cat>
          <c:val>
            <c:numRef>
              <c:f>Sheet1!$B$15:$O$15</c:f>
              <c:numCache>
                <c:formatCode>_([$$-409]* #,##0_);_([$$-409]* \(#,##0\);_([$$-409]* "-"??_);_(@_)</c:formatCode>
                <c:ptCount val="14"/>
                <c:pt idx="0">
                  <c:v>17869.182799999999</c:v>
                </c:pt>
                <c:pt idx="1">
                  <c:v>25246.839999999997</c:v>
                </c:pt>
                <c:pt idx="2">
                  <c:v>24414.84</c:v>
                </c:pt>
                <c:pt idx="3">
                  <c:v>34806.199999999997</c:v>
                </c:pt>
                <c:pt idx="4">
                  <c:v>30372.2</c:v>
                </c:pt>
                <c:pt idx="5">
                  <c:v>39202.81</c:v>
                </c:pt>
                <c:pt idx="6">
                  <c:v>32976</c:v>
                </c:pt>
                <c:pt idx="7">
                  <c:v>34657.181666666671</c:v>
                </c:pt>
                <c:pt idx="8">
                  <c:v>80636</c:v>
                </c:pt>
                <c:pt idx="9">
                  <c:v>31192.799999999999</c:v>
                </c:pt>
                <c:pt idx="10">
                  <c:v>42544</c:v>
                </c:pt>
                <c:pt idx="11">
                  <c:v>23697.8</c:v>
                </c:pt>
                <c:pt idx="12">
                  <c:v>39930</c:v>
                </c:pt>
                <c:pt idx="13">
                  <c:v>27816.48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E-496B-BD70-C406CEF3E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513887"/>
        <c:axId val="525487679"/>
      </c:barChart>
      <c:catAx>
        <c:axId val="5255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487679"/>
        <c:crosses val="autoZero"/>
        <c:auto val="1"/>
        <c:lblAlgn val="ctr"/>
        <c:lblOffset val="100"/>
        <c:noMultiLvlLbl val="0"/>
      </c:catAx>
      <c:valAx>
        <c:axId val="52548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_);_([$$-409]* \(#,##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513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Before Tax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Sheet1!$B$1:$O$1</c:f>
              <c:strCache>
                <c:ptCount val="14"/>
                <c:pt idx="0">
                  <c:v>UNL</c:v>
                </c:pt>
                <c:pt idx="1">
                  <c:v>Illinois, Urbana</c:v>
                </c:pt>
                <c:pt idx="2">
                  <c:v>IU, Bloomington</c:v>
                </c:pt>
                <c:pt idx="3">
                  <c:v>U of Iowa</c:v>
                </c:pt>
                <c:pt idx="4">
                  <c:v>U of Maryland</c:v>
                </c:pt>
                <c:pt idx="5">
                  <c:v>U of Michigan</c:v>
                </c:pt>
                <c:pt idx="6">
                  <c:v>Michigan State</c:v>
                </c:pt>
                <c:pt idx="7">
                  <c:v>Minnesota</c:v>
                </c:pt>
                <c:pt idx="8">
                  <c:v>Northwestern</c:v>
                </c:pt>
                <c:pt idx="9">
                  <c:v>The Ohio State</c:v>
                </c:pt>
                <c:pt idx="10">
                  <c:v>Penn State</c:v>
                </c:pt>
                <c:pt idx="11">
                  <c:v>Purdue</c:v>
                </c:pt>
                <c:pt idx="12">
                  <c:v>Rutgers</c:v>
                </c:pt>
                <c:pt idx="13">
                  <c:v>U of Wisconsin</c:v>
                </c:pt>
              </c:strCache>
            </c:strRef>
          </c:cat>
          <c:val>
            <c:numRef>
              <c:f>Sheet1!$B$16:$O$16</c:f>
              <c:numCache>
                <c:formatCode>_([$$-409]* #,##0_);_([$$-409]* \(#,##0\);_([$$-409]* "-"??_);_(@_)</c:formatCode>
                <c:ptCount val="14"/>
                <c:pt idx="0">
                  <c:v>9105.8863999999994</c:v>
                </c:pt>
                <c:pt idx="1">
                  <c:v>9320.92</c:v>
                </c:pt>
                <c:pt idx="2">
                  <c:v>13579.54</c:v>
                </c:pt>
                <c:pt idx="3">
                  <c:v>19538.349999999999</c:v>
                </c:pt>
                <c:pt idx="4">
                  <c:v>16548.2</c:v>
                </c:pt>
                <c:pt idx="5">
                  <c:v>23031.81</c:v>
                </c:pt>
                <c:pt idx="6">
                  <c:v>15416</c:v>
                </c:pt>
                <c:pt idx="7">
                  <c:v>15845.401666666668</c:v>
                </c:pt>
                <c:pt idx="8">
                  <c:v>24569</c:v>
                </c:pt>
                <c:pt idx="9">
                  <c:v>20648.8</c:v>
                </c:pt>
                <c:pt idx="10">
                  <c:v>20384</c:v>
                </c:pt>
                <c:pt idx="11">
                  <c:v>12388.8</c:v>
                </c:pt>
                <c:pt idx="12">
                  <c:v>30162</c:v>
                </c:pt>
                <c:pt idx="13">
                  <c:v>15642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2-4C3C-8E39-C9600A9D5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513887"/>
        <c:axId val="525487679"/>
      </c:barChart>
      <c:catAx>
        <c:axId val="5255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487679"/>
        <c:crosses val="autoZero"/>
        <c:auto val="1"/>
        <c:lblAlgn val="ctr"/>
        <c:lblOffset val="100"/>
        <c:noMultiLvlLbl val="0"/>
      </c:catAx>
      <c:valAx>
        <c:axId val="52548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_);_([$$-409]* \(#,##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513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Total Compensation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Sheet3!$A$2:$A$15</c:f>
              <c:strCache>
                <c:ptCount val="14"/>
                <c:pt idx="0">
                  <c:v> UNL </c:v>
                </c:pt>
                <c:pt idx="1">
                  <c:v> Illinois, Urbana </c:v>
                </c:pt>
                <c:pt idx="2">
                  <c:v> U of Maryland </c:v>
                </c:pt>
                <c:pt idx="3">
                  <c:v> Purdue </c:v>
                </c:pt>
                <c:pt idx="4">
                  <c:v> IU, Bloomington </c:v>
                </c:pt>
                <c:pt idx="5">
                  <c:v> U of Wisconsin </c:v>
                </c:pt>
                <c:pt idx="6">
                  <c:v> Minnesota </c:v>
                </c:pt>
                <c:pt idx="7">
                  <c:v> Michigan State </c:v>
                </c:pt>
                <c:pt idx="8">
                  <c:v> U of Iowa </c:v>
                </c:pt>
                <c:pt idx="9">
                  <c:v> Penn State </c:v>
                </c:pt>
                <c:pt idx="10">
                  <c:v> U of Michigan </c:v>
                </c:pt>
                <c:pt idx="11">
                  <c:v> The Ohio State </c:v>
                </c:pt>
                <c:pt idx="12">
                  <c:v> Northwestern </c:v>
                </c:pt>
                <c:pt idx="13">
                  <c:v> Rutgers </c:v>
                </c:pt>
              </c:strCache>
            </c:strRef>
          </c:cat>
          <c:val>
            <c:numRef>
              <c:f>Sheet3!$B$2:$B$15</c:f>
              <c:numCache>
                <c:formatCode>_("$"* #,##0_);_("$"* \(#,##0\);_("$"* "-"??_);_(@_)</c:formatCode>
                <c:ptCount val="14"/>
                <c:pt idx="0">
                  <c:v>17869.182799999999</c:v>
                </c:pt>
                <c:pt idx="1">
                  <c:v>25246.839999999997</c:v>
                </c:pt>
                <c:pt idx="2">
                  <c:v>30372.2</c:v>
                </c:pt>
                <c:pt idx="3">
                  <c:v>23697.8</c:v>
                </c:pt>
                <c:pt idx="4">
                  <c:v>24414.84</c:v>
                </c:pt>
                <c:pt idx="5">
                  <c:v>27816.48</c:v>
                </c:pt>
                <c:pt idx="6">
                  <c:v>34657.181666666671</c:v>
                </c:pt>
                <c:pt idx="7">
                  <c:v>32976</c:v>
                </c:pt>
                <c:pt idx="8">
                  <c:v>34806.199999999997</c:v>
                </c:pt>
                <c:pt idx="9">
                  <c:v>42544</c:v>
                </c:pt>
                <c:pt idx="10">
                  <c:v>39202.81</c:v>
                </c:pt>
                <c:pt idx="11">
                  <c:v>31192.799999999999</c:v>
                </c:pt>
                <c:pt idx="12">
                  <c:v>80636</c:v>
                </c:pt>
                <c:pt idx="13">
                  <c:v>39930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C-4E66-BB88-06DCF6FE8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513887"/>
        <c:axId val="525487679"/>
      </c:barChart>
      <c:catAx>
        <c:axId val="5255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487679"/>
        <c:crosses val="autoZero"/>
        <c:auto val="1"/>
        <c:lblAlgn val="ctr"/>
        <c:lblOffset val="100"/>
        <c:noMultiLvlLbl val="0"/>
      </c:catAx>
      <c:valAx>
        <c:axId val="52548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513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Cash Before Tax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Sheet3!$A$2:$A$15</c:f>
              <c:strCache>
                <c:ptCount val="14"/>
                <c:pt idx="0">
                  <c:v> UNL </c:v>
                </c:pt>
                <c:pt idx="1">
                  <c:v> Illinois, Urbana </c:v>
                </c:pt>
                <c:pt idx="2">
                  <c:v> U of Maryland </c:v>
                </c:pt>
                <c:pt idx="3">
                  <c:v> Purdue </c:v>
                </c:pt>
                <c:pt idx="4">
                  <c:v> IU, Bloomington </c:v>
                </c:pt>
                <c:pt idx="5">
                  <c:v> U of Wisconsin </c:v>
                </c:pt>
                <c:pt idx="6">
                  <c:v> Minnesota </c:v>
                </c:pt>
                <c:pt idx="7">
                  <c:v> Michigan State </c:v>
                </c:pt>
                <c:pt idx="8">
                  <c:v> U of Iowa </c:v>
                </c:pt>
                <c:pt idx="9">
                  <c:v> Penn State </c:v>
                </c:pt>
                <c:pt idx="10">
                  <c:v> U of Michigan </c:v>
                </c:pt>
                <c:pt idx="11">
                  <c:v> The Ohio State </c:v>
                </c:pt>
                <c:pt idx="12">
                  <c:v> Northwestern </c:v>
                </c:pt>
                <c:pt idx="13">
                  <c:v> Rutgers </c:v>
                </c:pt>
              </c:strCache>
            </c:strRef>
          </c:cat>
          <c:val>
            <c:numRef>
              <c:f>Sheet3!$C$2:$C$15</c:f>
              <c:numCache>
                <c:formatCode>_("$"* #,##0_);_("$"* \(#,##0\);_("$"* "-"??_);_(@_)</c:formatCode>
                <c:ptCount val="14"/>
                <c:pt idx="0">
                  <c:v>9105.8863999999994</c:v>
                </c:pt>
                <c:pt idx="1">
                  <c:v>9320.92</c:v>
                </c:pt>
                <c:pt idx="2">
                  <c:v>16548.2</c:v>
                </c:pt>
                <c:pt idx="3">
                  <c:v>12388.8</c:v>
                </c:pt>
                <c:pt idx="4">
                  <c:v>13579.54</c:v>
                </c:pt>
                <c:pt idx="5">
                  <c:v>15642</c:v>
                </c:pt>
                <c:pt idx="6">
                  <c:v>15845.401666666668</c:v>
                </c:pt>
                <c:pt idx="7">
                  <c:v>15416</c:v>
                </c:pt>
                <c:pt idx="8">
                  <c:v>19538.349999999999</c:v>
                </c:pt>
                <c:pt idx="9">
                  <c:v>20384</c:v>
                </c:pt>
                <c:pt idx="10">
                  <c:v>23031.81</c:v>
                </c:pt>
                <c:pt idx="11">
                  <c:v>20648.8</c:v>
                </c:pt>
                <c:pt idx="12">
                  <c:v>24569</c:v>
                </c:pt>
                <c:pt idx="13">
                  <c:v>30162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4-45F8-9F10-E98137A4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513887"/>
        <c:axId val="525487679"/>
      </c:barChart>
      <c:catAx>
        <c:axId val="5255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487679"/>
        <c:crosses val="autoZero"/>
        <c:auto val="1"/>
        <c:lblAlgn val="ctr"/>
        <c:lblOffset val="100"/>
        <c:noMultiLvlLbl val="0"/>
      </c:catAx>
      <c:valAx>
        <c:axId val="52548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513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Normalized Total Compensation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Sheet3!$A$2:$A$15</c:f>
              <c:strCache>
                <c:ptCount val="14"/>
                <c:pt idx="0">
                  <c:v> UNL </c:v>
                </c:pt>
                <c:pt idx="1">
                  <c:v> Illinois, Urbana </c:v>
                </c:pt>
                <c:pt idx="2">
                  <c:v> U of Maryland </c:v>
                </c:pt>
                <c:pt idx="3">
                  <c:v> Purdue </c:v>
                </c:pt>
                <c:pt idx="4">
                  <c:v> IU, Bloomington </c:v>
                </c:pt>
                <c:pt idx="5">
                  <c:v> U of Wisconsin </c:v>
                </c:pt>
                <c:pt idx="6">
                  <c:v> Minnesota </c:v>
                </c:pt>
                <c:pt idx="7">
                  <c:v> Michigan State </c:v>
                </c:pt>
                <c:pt idx="8">
                  <c:v> U of Iowa </c:v>
                </c:pt>
                <c:pt idx="9">
                  <c:v> Penn State </c:v>
                </c:pt>
                <c:pt idx="10">
                  <c:v> U of Michigan </c:v>
                </c:pt>
                <c:pt idx="11">
                  <c:v> The Ohio State </c:v>
                </c:pt>
                <c:pt idx="12">
                  <c:v> Northwestern </c:v>
                </c:pt>
                <c:pt idx="13">
                  <c:v> Rutgers </c:v>
                </c:pt>
              </c:strCache>
            </c:strRef>
          </c:cat>
          <c:val>
            <c:numRef>
              <c:f>Sheet3!$D$2:$D$15</c:f>
              <c:numCache>
                <c:formatCode>_("$"* #,##0_);_("$"* \(#,##0\);_("$"* "-"??_);_(@_)</c:formatCode>
                <c:ptCount val="14"/>
                <c:pt idx="0">
                  <c:v>17869.182799999999</c:v>
                </c:pt>
                <c:pt idx="1">
                  <c:v>24804.495725058558</c:v>
                </c:pt>
                <c:pt idx="2">
                  <c:v>22558.479632235212</c:v>
                </c:pt>
                <c:pt idx="3">
                  <c:v>25946.057166356746</c:v>
                </c:pt>
                <c:pt idx="4">
                  <c:v>26106.560831208742</c:v>
                </c:pt>
                <c:pt idx="5">
                  <c:v>26403.880581615253</c:v>
                </c:pt>
                <c:pt idx="6">
                  <c:v>32604.053805141604</c:v>
                </c:pt>
                <c:pt idx="7">
                  <c:v>36009.208645409803</c:v>
                </c:pt>
                <c:pt idx="8">
                  <c:v>37806.840933763786</c:v>
                </c:pt>
                <c:pt idx="9">
                  <c:v>44325</c:v>
                </c:pt>
                <c:pt idx="10">
                  <c:v>36943.963611376159</c:v>
                </c:pt>
                <c:pt idx="11">
                  <c:v>33022.024051727123</c:v>
                </c:pt>
                <c:pt idx="12">
                  <c:v>72713.233351986564</c:v>
                </c:pt>
                <c:pt idx="13">
                  <c:v>32910.781758957652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C-496D-B0AA-C68208CEF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513887"/>
        <c:axId val="525487679"/>
      </c:barChart>
      <c:catAx>
        <c:axId val="5255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487679"/>
        <c:crosses val="autoZero"/>
        <c:auto val="1"/>
        <c:lblAlgn val="ctr"/>
        <c:lblOffset val="100"/>
        <c:noMultiLvlLbl val="0"/>
      </c:catAx>
      <c:valAx>
        <c:axId val="52548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513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Normalized Cash Before Tax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Sheet3!$A$2:$A$15</c:f>
              <c:strCache>
                <c:ptCount val="14"/>
                <c:pt idx="0">
                  <c:v> UNL </c:v>
                </c:pt>
                <c:pt idx="1">
                  <c:v> Illinois, Urbana </c:v>
                </c:pt>
                <c:pt idx="2">
                  <c:v> U of Maryland </c:v>
                </c:pt>
                <c:pt idx="3">
                  <c:v> Purdue </c:v>
                </c:pt>
                <c:pt idx="4">
                  <c:v> IU, Bloomington </c:v>
                </c:pt>
                <c:pt idx="5">
                  <c:v> U of Wisconsin </c:v>
                </c:pt>
                <c:pt idx="6">
                  <c:v> Minnesota </c:v>
                </c:pt>
                <c:pt idx="7">
                  <c:v> Michigan State </c:v>
                </c:pt>
                <c:pt idx="8">
                  <c:v> U of Iowa </c:v>
                </c:pt>
                <c:pt idx="9">
                  <c:v> Penn State </c:v>
                </c:pt>
                <c:pt idx="10">
                  <c:v> U of Michigan </c:v>
                </c:pt>
                <c:pt idx="11">
                  <c:v> The Ohio State </c:v>
                </c:pt>
                <c:pt idx="12">
                  <c:v> Northwestern </c:v>
                </c:pt>
                <c:pt idx="13">
                  <c:v> Rutgers </c:v>
                </c:pt>
              </c:strCache>
            </c:strRef>
          </c:cat>
          <c:val>
            <c:numRef>
              <c:f>Sheet3!$E$2:$E$15</c:f>
              <c:numCache>
                <c:formatCode>_("$"* #,##0_);_("$"* \(#,##0\);_("$"* "-"??_);_(@_)</c:formatCode>
                <c:ptCount val="14"/>
                <c:pt idx="0">
                  <c:v>9105.8863999999994</c:v>
                </c:pt>
                <c:pt idx="1">
                  <c:v>9157.6102313641168</c:v>
                </c:pt>
                <c:pt idx="2">
                  <c:v>12290.918427053515</c:v>
                </c:pt>
                <c:pt idx="3">
                  <c:v>13564.149964239736</c:v>
                </c:pt>
                <c:pt idx="4">
                  <c:v>14520.475541508051</c:v>
                </c:pt>
                <c:pt idx="5">
                  <c:v>14847.655061230817</c:v>
                </c:pt>
                <c:pt idx="6">
                  <c:v>14906.703420750757</c:v>
                </c:pt>
                <c:pt idx="7">
                  <c:v>16833.99928668236</c:v>
                </c:pt>
                <c:pt idx="8">
                  <c:v>21222.750273175574</c:v>
                </c:pt>
                <c:pt idx="9">
                  <c:v>21237</c:v>
                </c:pt>
                <c:pt idx="10">
                  <c:v>21704.728577980241</c:v>
                </c:pt>
                <c:pt idx="11">
                  <c:v>21859.697437847932</c:v>
                </c:pt>
                <c:pt idx="12">
                  <c:v>22155.010543987275</c:v>
                </c:pt>
                <c:pt idx="13">
                  <c:v>24859.879774948178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B-4F18-9472-10584B26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513887"/>
        <c:axId val="525487679"/>
      </c:barChart>
      <c:catAx>
        <c:axId val="52551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487679"/>
        <c:crosses val="autoZero"/>
        <c:auto val="1"/>
        <c:lblAlgn val="ctr"/>
        <c:lblOffset val="100"/>
        <c:noMultiLvlLbl val="0"/>
      </c:catAx>
      <c:valAx>
        <c:axId val="52548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513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7142</xdr:colOff>
      <xdr:row>22</xdr:row>
      <xdr:rowOff>178594</xdr:rowOff>
    </xdr:from>
    <xdr:to>
      <xdr:col>8</xdr:col>
      <xdr:colOff>423863</xdr:colOff>
      <xdr:row>38</xdr:row>
      <xdr:rowOff>4764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F3A50A-1CFA-4BC8-858D-A588D2513B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39</xdr:row>
      <xdr:rowOff>19050</xdr:rowOff>
    </xdr:from>
    <xdr:to>
      <xdr:col>8</xdr:col>
      <xdr:colOff>438150</xdr:colOff>
      <xdr:row>52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397F9F2-BDAA-4B1F-A369-43FD5CEF0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11904</xdr:colOff>
      <xdr:row>23</xdr:row>
      <xdr:rowOff>0</xdr:rowOff>
    </xdr:from>
    <xdr:to>
      <xdr:col>18</xdr:col>
      <xdr:colOff>642937</xdr:colOff>
      <xdr:row>38</xdr:row>
      <xdr:rowOff>7145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09E4E94-DD4A-430A-89A8-7F5DA547B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38</xdr:row>
      <xdr:rowOff>130969</xdr:rowOff>
    </xdr:from>
    <xdr:to>
      <xdr:col>18</xdr:col>
      <xdr:colOff>623887</xdr:colOff>
      <xdr:row>51</xdr:row>
      <xdr:rowOff>140494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1F784A-BF90-4008-839D-C4DE65748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0</xdr:rowOff>
    </xdr:from>
    <xdr:to>
      <xdr:col>4</xdr:col>
      <xdr:colOff>1373983</xdr:colOff>
      <xdr:row>32</xdr:row>
      <xdr:rowOff>7145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087EC5-7EFB-40C8-9ED3-6B7F76769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32</xdr:row>
      <xdr:rowOff>85725</xdr:rowOff>
    </xdr:from>
    <xdr:to>
      <xdr:col>4</xdr:col>
      <xdr:colOff>1383508</xdr:colOff>
      <xdr:row>47</xdr:row>
      <xdr:rowOff>92870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D50F8A-C1E7-4552-9A7C-A97C447A2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15</xdr:col>
      <xdr:colOff>469108</xdr:colOff>
      <xdr:row>32</xdr:row>
      <xdr:rowOff>7145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4247311-D709-412F-A0B5-C204082F9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32</xdr:row>
      <xdr:rowOff>85725</xdr:rowOff>
    </xdr:from>
    <xdr:to>
      <xdr:col>15</xdr:col>
      <xdr:colOff>478633</xdr:colOff>
      <xdr:row>47</xdr:row>
      <xdr:rowOff>92870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4FC060B-CEB8-4F8A-A4E0-D8A18998A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ED9BD6-A95C-404C-8BC0-84F7C57D8488}" name="Table1" displayName="Table1" ref="A1:E15" totalsRowShown="0" dataDxfId="5" dataCellStyle="Currency">
  <autoFilter ref="A1:E15" xr:uid="{E4ED9BD6-A95C-404C-8BC0-84F7C57D8488}"/>
  <sortState xmlns:xlrd2="http://schemas.microsoft.com/office/spreadsheetml/2017/richdata2" ref="A2:E15">
    <sortCondition ref="E1:E15"/>
  </sortState>
  <tableColumns count="5">
    <tableColumn id="1" xr3:uid="{5D4C11D1-F697-4821-957A-7291920166E5}" name="University" dataDxfId="4" dataCellStyle="Currency"/>
    <tableColumn id="2" xr3:uid="{F165BE23-EC19-4286-9201-F5EB97E3632E}" name="Total Compensation" dataDxfId="3" dataCellStyle="Currency"/>
    <tableColumn id="3" xr3:uid="{1A6ED80F-FF74-4CA4-AADA-AAE2F572BF9C}" name="Spending Cash Before Tax" dataDxfId="2" dataCellStyle="Currency"/>
    <tableColumn id="4" xr3:uid="{93F260F2-4BA1-4BBE-A770-31524C503D12}" name="Normalized Total Compensation" dataDxfId="1" dataCellStyle="Currency"/>
    <tableColumn id="5" xr3:uid="{E80E5364-D02F-4681-A056-70303FDD1262}" name="Normalized Cash Before Tax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rad.uiowa.edu/graduate-student-employment-agreement/wages" TargetMode="External"/><Relationship Id="rId18" Type="http://schemas.openxmlformats.org/officeDocument/2006/relationships/hyperlink" Target="https://billpay.umd.edu/GraduateTuition" TargetMode="External"/><Relationship Id="rId26" Type="http://schemas.openxmlformats.org/officeDocument/2006/relationships/hyperlink" Target="https://hr.msu.edu/benefits/graduate-assistants/health/rates.html" TargetMode="External"/><Relationship Id="rId39" Type="http://schemas.openxmlformats.org/officeDocument/2006/relationships/hyperlink" Target="https://gradschool.psu.edu/graduate-school-funding/infoga/" TargetMode="External"/><Relationship Id="rId21" Type="http://schemas.openxmlformats.org/officeDocument/2006/relationships/hyperlink" Target="https://hr.umich.edu/benefits-wellness/health-well-being/health-plans/gradcare" TargetMode="External"/><Relationship Id="rId34" Type="http://schemas.openxmlformats.org/officeDocument/2006/relationships/hyperlink" Target="https://registrar.osu.edu/FeeTables/Graduate_Fees_for_Autumn_2021_Spring_2022_Summer_2022.pdf" TargetMode="External"/><Relationship Id="rId42" Type="http://schemas.openxmlformats.org/officeDocument/2006/relationships/hyperlink" Target="https://www.purdue.edu/bursar/tuition/feerates/2020-2021/graduate/fall-spring.php" TargetMode="External"/><Relationship Id="rId47" Type="http://schemas.openxmlformats.org/officeDocument/2006/relationships/hyperlink" Target="https://uwservice.wisconsin.edu/premiums/index.php" TargetMode="External"/><Relationship Id="rId50" Type="http://schemas.openxmlformats.org/officeDocument/2006/relationships/comments" Target="../comments1.xml"/><Relationship Id="rId7" Type="http://schemas.openxmlformats.org/officeDocument/2006/relationships/hyperlink" Target="https://grad.illinois.edu/files/pdfs/handbook.pdf" TargetMode="External"/><Relationship Id="rId2" Type="http://schemas.openxmlformats.org/officeDocument/2006/relationships/hyperlink" Target="https://studentaccounts.unl.edu/graduate-tuition" TargetMode="External"/><Relationship Id="rId16" Type="http://schemas.openxmlformats.org/officeDocument/2006/relationships/hyperlink" Target="https://grad.uiowa.edu/graduate-student-employment-agreement/wages" TargetMode="External"/><Relationship Id="rId29" Type="http://schemas.openxmlformats.org/officeDocument/2006/relationships/hyperlink" Target="https://shb.umn.edu/graduate-assistants/gahp-costs" TargetMode="External"/><Relationship Id="rId11" Type="http://schemas.openxmlformats.org/officeDocument/2006/relationships/hyperlink" Target="https://moneysmarts.iu.edu/calculate-costs/index.html?page=tuitionAndFees" TargetMode="External"/><Relationship Id="rId24" Type="http://schemas.openxmlformats.org/officeDocument/2006/relationships/hyperlink" Target="https://hr.msu.edu/employment/graduate-assistants/stipend-ranges.html" TargetMode="External"/><Relationship Id="rId32" Type="http://schemas.openxmlformats.org/officeDocument/2006/relationships/hyperlink" Target="https://www.northwestern.edu/sfs/tuition/graduate/the-graduate-school.html" TargetMode="External"/><Relationship Id="rId37" Type="http://schemas.openxmlformats.org/officeDocument/2006/relationships/hyperlink" Target="https://gradschool.psu.edu/graduate-school-funding/infoga/" TargetMode="External"/><Relationship Id="rId40" Type="http://schemas.openxmlformats.org/officeDocument/2006/relationships/hyperlink" Target="https://gradschool.psu.edu/graduate-school-funding/infoga/" TargetMode="External"/><Relationship Id="rId45" Type="http://schemas.openxmlformats.org/officeDocument/2006/relationships/hyperlink" Target="https://finance.rutgers.edu/sites/default/files/2021-10/2021-22%20Camden%20Graduate%207-27-21.pdf" TargetMode="External"/><Relationship Id="rId5" Type="http://schemas.openxmlformats.org/officeDocument/2006/relationships/hyperlink" Target="https://www.unl.edu/gradstudies/funding/assistantships" TargetMode="External"/><Relationship Id="rId15" Type="http://schemas.openxmlformats.org/officeDocument/2006/relationships/hyperlink" Target="https://hr.uiowa.edu/benefits/ui-student-insurance/grad-students-and-health-science-majors-benefits/ship-and-uigradcare" TargetMode="External"/><Relationship Id="rId23" Type="http://schemas.openxmlformats.org/officeDocument/2006/relationships/hyperlink" Target="https://ro.umich.edu/tuition-residency/tuition-fees?academic_year=169&amp;college_school=141&amp;full_half_term=35&amp;level_of_study=38" TargetMode="External"/><Relationship Id="rId28" Type="http://schemas.openxmlformats.org/officeDocument/2006/relationships/hyperlink" Target="https://onestop.umn.edu/finances/tuition" TargetMode="External"/><Relationship Id="rId36" Type="http://schemas.openxmlformats.org/officeDocument/2006/relationships/hyperlink" Target="https://shi.osu.edu/shi-benefits-plan/rates-dates-and-deadlines" TargetMode="External"/><Relationship Id="rId49" Type="http://schemas.openxmlformats.org/officeDocument/2006/relationships/vmlDrawing" Target="../drawings/vmlDrawing1.vml"/><Relationship Id="rId10" Type="http://schemas.openxmlformats.org/officeDocument/2006/relationships/hyperlink" Target="https://moneysmarts.iu.edu/calculate-costs/index.html?page=tuitionAndFees" TargetMode="External"/><Relationship Id="rId19" Type="http://schemas.openxmlformats.org/officeDocument/2006/relationships/hyperlink" Target="https://dbm.maryland.gov/benefits/Documents/CY22%2010-month%20Employee%20Rates.pdf" TargetMode="External"/><Relationship Id="rId31" Type="http://schemas.openxmlformats.org/officeDocument/2006/relationships/hyperlink" Target="https://www.northwestern.edu/sfs/tuition/graduate/the-graduate-school.html" TargetMode="External"/><Relationship Id="rId44" Type="http://schemas.openxmlformats.org/officeDocument/2006/relationships/hyperlink" Target="https://uhr.rutgers.edu/hr-professional/full-time-ta-and-ga-starting" TargetMode="External"/><Relationship Id="rId4" Type="http://schemas.openxmlformats.org/officeDocument/2006/relationships/hyperlink" Target="https://studentaccounts.unl.edu/graduate-tuition" TargetMode="External"/><Relationship Id="rId9" Type="http://schemas.openxmlformats.org/officeDocument/2006/relationships/hyperlink" Target="https://vpfaa.indiana.edu/doc/graduate-student-academic-appointees-guide.pdf" TargetMode="External"/><Relationship Id="rId14" Type="http://schemas.openxmlformats.org/officeDocument/2006/relationships/hyperlink" Target="https://www.maui.uiowa.edu/maui/pub/tuition/rates.page" TargetMode="External"/><Relationship Id="rId22" Type="http://schemas.openxmlformats.org/officeDocument/2006/relationships/hyperlink" Target="https://ro.umich.edu/tuition-residency/tuition-fees?academic_year=169&amp;college_school=141&amp;full_half_term=35&amp;level_of_study=38" TargetMode="External"/><Relationship Id="rId27" Type="http://schemas.openxmlformats.org/officeDocument/2006/relationships/hyperlink" Target="https://humanresources.umn.edu/sites/humanresources.umn.edu/files/academic_salary_floors_fy22.pdf" TargetMode="External"/><Relationship Id="rId30" Type="http://schemas.openxmlformats.org/officeDocument/2006/relationships/hyperlink" Target="https://www.tgs.northwestern.edu/funding/" TargetMode="External"/><Relationship Id="rId35" Type="http://schemas.openxmlformats.org/officeDocument/2006/relationships/hyperlink" Target="https://registrar.osu.edu/FeeTables/Graduate_Fees_for_Autumn_2021_Spring_2022_Summer_2022.pdf" TargetMode="External"/><Relationship Id="rId43" Type="http://schemas.openxmlformats.org/officeDocument/2006/relationships/hyperlink" Target="https://www.purdue.edu/hr/Benefits/gradstaff/benefits-enrollment/pdf/Purdue_Grad_OE2021.pdf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https://grad.illinois.edu/files/pdfs/handbook.pdf" TargetMode="External"/><Relationship Id="rId3" Type="http://schemas.openxmlformats.org/officeDocument/2006/relationships/hyperlink" Target="https://studentaccounts.unl.edu/graduate-tuition" TargetMode="External"/><Relationship Id="rId12" Type="http://schemas.openxmlformats.org/officeDocument/2006/relationships/hyperlink" Target="https://hr.iu.edu/benefits/GA-medical.html" TargetMode="External"/><Relationship Id="rId17" Type="http://schemas.openxmlformats.org/officeDocument/2006/relationships/hyperlink" Target="https://gradschool.umd.edu/sites/gradschool.umd.edu/files/uploads/revised_fy22_grad_stipend_memo.pdf" TargetMode="External"/><Relationship Id="rId25" Type="http://schemas.openxmlformats.org/officeDocument/2006/relationships/hyperlink" Target="https://finaid.msu.edu/grad.asp" TargetMode="External"/><Relationship Id="rId33" Type="http://schemas.openxmlformats.org/officeDocument/2006/relationships/hyperlink" Target="https://gradsch.osu.edu/graduate-associate-fellow-appointments" TargetMode="External"/><Relationship Id="rId38" Type="http://schemas.openxmlformats.org/officeDocument/2006/relationships/hyperlink" Target="https://gradschool.psu.edu/graduate-school-funding/infoga/" TargetMode="External"/><Relationship Id="rId46" Type="http://schemas.openxmlformats.org/officeDocument/2006/relationships/hyperlink" Target="https://bursar.wisc.edu/tuition-and-fees/tuition-rates" TargetMode="External"/><Relationship Id="rId20" Type="http://schemas.openxmlformats.org/officeDocument/2006/relationships/hyperlink" Target="https://hr.umich.edu/sites/default/files/2021-2022-gsa-salary-memo.pdf" TargetMode="External"/><Relationship Id="rId41" Type="http://schemas.openxmlformats.org/officeDocument/2006/relationships/hyperlink" Target="https://www.purdue.edu/gradschool/documents/gpo/graduate-student-employment-manual.pdf" TargetMode="External"/><Relationship Id="rId1" Type="http://schemas.openxmlformats.org/officeDocument/2006/relationships/hyperlink" Target="https://www.unl.edu/gradstudies/funding/assistantships" TargetMode="External"/><Relationship Id="rId6" Type="http://schemas.openxmlformats.org/officeDocument/2006/relationships/hyperlink" Target="https://registrar.illinois.edu/tuition-fees/tuition-fee-rates/g-tuition-rates-2021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hr.msu.edu/benefits/graduate-assistants/health/" TargetMode="External"/><Relationship Id="rId13" Type="http://schemas.openxmlformats.org/officeDocument/2006/relationships/hyperlink" Target="https://www.uhcsr.com/school-page" TargetMode="External"/><Relationship Id="rId18" Type="http://schemas.openxmlformats.org/officeDocument/2006/relationships/hyperlink" Target="https://studentaffairs.psu.edu/health-wellness/health-insurance/graduate-assistant-fellows-and-trainees" TargetMode="External"/><Relationship Id="rId3" Type="http://schemas.openxmlformats.org/officeDocument/2006/relationships/hyperlink" Target="https://hr.umich.edu/benefits-wellness/health-well-being/health-plans/gradcare" TargetMode="External"/><Relationship Id="rId21" Type="http://schemas.openxmlformats.org/officeDocument/2006/relationships/hyperlink" Target="http://https/www.registrar.iastate.edu/sites/default/files/uploads/fees/Summer%202020/Summer%2020fees.pdf" TargetMode="External"/><Relationship Id="rId7" Type="http://schemas.openxmlformats.org/officeDocument/2006/relationships/hyperlink" Target="https://hr.umich.edu/working-u-m/my-employment/academic-human-resources/graduate-student" TargetMode="External"/><Relationship Id="rId12" Type="http://schemas.openxmlformats.org/officeDocument/2006/relationships/hyperlink" Target="https://finance.rutgers.edu/sites/default/files/2021-07/2021-2022%20NB%20Graduate%20Schools.pdf" TargetMode="External"/><Relationship Id="rId17" Type="http://schemas.openxmlformats.org/officeDocument/2006/relationships/hyperlink" Target="https://mnhigheredworkercenter.org/graduate-student-fees/" TargetMode="External"/><Relationship Id="rId2" Type="http://schemas.openxmlformats.org/officeDocument/2006/relationships/hyperlink" Target="https://reg.msu.edu/AcademicPrograms/Text.aspx?Section=111" TargetMode="External"/><Relationship Id="rId16" Type="http://schemas.openxmlformats.org/officeDocument/2006/relationships/hyperlink" Target="https://registrar.osu.edu/FeeTables/Graduate_Fees_for_Autumn_2021_Spring_2022_Summer_2022.pdf" TargetMode="External"/><Relationship Id="rId20" Type="http://schemas.openxmlformats.org/officeDocument/2006/relationships/hyperlink" Target="https://www.registrar.iastate.edu/fees/mandatory-fees" TargetMode="External"/><Relationship Id="rId1" Type="http://schemas.openxmlformats.org/officeDocument/2006/relationships/hyperlink" Target="https://finance.umich.edu/finops/student/gsa" TargetMode="External"/><Relationship Id="rId6" Type="http://schemas.openxmlformats.org/officeDocument/2006/relationships/hyperlink" Target="https://hr.msu.edu/employment/graduate-assistants/stipend-ranges.html" TargetMode="External"/><Relationship Id="rId11" Type="http://schemas.openxmlformats.org/officeDocument/2006/relationships/hyperlink" Target="https://finance.rutgers.edu/student-abc/tuition-fees" TargetMode="External"/><Relationship Id="rId5" Type="http://schemas.openxmlformats.org/officeDocument/2006/relationships/hyperlink" Target="https://orsp.umich.edu/graduate-student-research-assistant-gsra-cost-estimates" TargetMode="External"/><Relationship Id="rId15" Type="http://schemas.openxmlformats.org/officeDocument/2006/relationships/hyperlink" Target="https://www.northwestern.edu/sfs/tuition/graduate/the-graduate-school.html" TargetMode="External"/><Relationship Id="rId10" Type="http://schemas.openxmlformats.org/officeDocument/2006/relationships/hyperlink" Target="https://summer.newark.rutgers.edu/tuition-fees" TargetMode="External"/><Relationship Id="rId19" Type="http://schemas.openxmlformats.org/officeDocument/2006/relationships/hyperlink" Target="https://moneysmarts.iu.edu/calculate-costs/index.html" TargetMode="External"/><Relationship Id="rId4" Type="http://schemas.openxmlformats.org/officeDocument/2006/relationships/hyperlink" Target="https://reg.msu.edu/AcademicPrograms/Text.aspx?Section=111" TargetMode="External"/><Relationship Id="rId9" Type="http://schemas.openxmlformats.org/officeDocument/2006/relationships/hyperlink" Target="https://www.cnbc.com/2021/11/11/premiums-for-employer-health-insurance-have-jumped-47percent-in-10-years.html" TargetMode="External"/><Relationship Id="rId14" Type="http://schemas.openxmlformats.org/officeDocument/2006/relationships/hyperlink" Target="https://www.northwestern.edu/sfs/payments/common-fees/index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workbookViewId="0">
      <selection activeCell="A15" sqref="A15:A21"/>
    </sheetView>
  </sheetViews>
  <sheetFormatPr defaultRowHeight="14.25" x14ac:dyDescent="0.45"/>
  <cols>
    <col min="1" max="1" width="29.1328125" bestFit="1" customWidth="1"/>
    <col min="2" max="2" width="11.86328125" bestFit="1" customWidth="1"/>
    <col min="3" max="3" width="14.265625" bestFit="1" customWidth="1"/>
    <col min="4" max="4" width="15.3984375" bestFit="1" customWidth="1"/>
    <col min="5" max="7" width="11.86328125" bestFit="1" customWidth="1"/>
    <col min="8" max="8" width="14.265625" bestFit="1" customWidth="1"/>
    <col min="9" max="9" width="11.86328125" bestFit="1" customWidth="1"/>
    <col min="10" max="10" width="13.3984375" bestFit="1" customWidth="1"/>
    <col min="11" max="11" width="13.73046875" bestFit="1" customWidth="1"/>
    <col min="12" max="15" width="11.86328125" bestFit="1" customWidth="1"/>
  </cols>
  <sheetData>
    <row r="1" spans="1:15" x14ac:dyDescent="0.45">
      <c r="B1" t="s">
        <v>0</v>
      </c>
      <c r="C1" t="s">
        <v>1</v>
      </c>
      <c r="D1" t="s">
        <v>2</v>
      </c>
      <c r="E1" t="s">
        <v>68</v>
      </c>
      <c r="F1" t="s">
        <v>67</v>
      </c>
      <c r="G1" t="s">
        <v>66</v>
      </c>
      <c r="H1" t="s">
        <v>4</v>
      </c>
      <c r="I1" t="s">
        <v>5</v>
      </c>
      <c r="J1" t="s">
        <v>6</v>
      </c>
      <c r="K1" t="s">
        <v>62</v>
      </c>
      <c r="L1" t="s">
        <v>8</v>
      </c>
      <c r="M1" t="s">
        <v>69</v>
      </c>
      <c r="N1" t="s">
        <v>10</v>
      </c>
      <c r="O1" t="s">
        <v>63</v>
      </c>
    </row>
    <row r="2" spans="1:15" x14ac:dyDescent="0.45">
      <c r="A2" t="s">
        <v>12</v>
      </c>
      <c r="B2" s="20"/>
      <c r="C2" s="20">
        <v>5000</v>
      </c>
      <c r="D2" s="20"/>
      <c r="E2" s="20"/>
      <c r="F2" s="20">
        <v>9375</v>
      </c>
      <c r="G2" s="23">
        <v>11598</v>
      </c>
      <c r="H2" s="20"/>
      <c r="I2" s="20"/>
      <c r="J2" s="20"/>
      <c r="K2" s="20"/>
      <c r="L2" s="20"/>
      <c r="M2" s="20"/>
      <c r="N2" s="20"/>
      <c r="O2" s="20"/>
    </row>
    <row r="3" spans="1:15" x14ac:dyDescent="0.45">
      <c r="A3" t="s">
        <v>65</v>
      </c>
      <c r="B3" s="23">
        <v>10610</v>
      </c>
      <c r="C3" s="23">
        <v>10000</v>
      </c>
      <c r="D3" s="23">
        <v>15000</v>
      </c>
      <c r="E3" s="23">
        <v>20302</v>
      </c>
      <c r="F3" s="23">
        <v>17500</v>
      </c>
      <c r="G3" s="21">
        <f>G2*2</f>
        <v>23196</v>
      </c>
      <c r="H3" s="23">
        <v>15560</v>
      </c>
      <c r="I3" s="21">
        <f>I4*10/12</f>
        <v>17303.041666666668</v>
      </c>
      <c r="J3" s="21">
        <f>J4*10/12</f>
        <v>29330</v>
      </c>
      <c r="K3" s="23">
        <v>21280</v>
      </c>
      <c r="L3" s="23">
        <v>20790</v>
      </c>
      <c r="M3" s="23">
        <v>13793</v>
      </c>
      <c r="N3" s="23">
        <v>30162</v>
      </c>
      <c r="O3" s="23">
        <v>20500</v>
      </c>
    </row>
    <row r="4" spans="1:15" x14ac:dyDescent="0.45">
      <c r="A4" t="s">
        <v>13</v>
      </c>
      <c r="B4" s="20"/>
      <c r="C4" s="20">
        <v>13333</v>
      </c>
      <c r="D4" s="20"/>
      <c r="E4" s="20">
        <v>24804</v>
      </c>
      <c r="F4" s="20">
        <v>25000</v>
      </c>
      <c r="G4" s="20"/>
      <c r="H4" s="20"/>
      <c r="I4" s="23">
        <f>41527.3*0.5</f>
        <v>20763.650000000001</v>
      </c>
      <c r="J4" s="23">
        <v>35196</v>
      </c>
      <c r="K4" s="20">
        <v>28373</v>
      </c>
      <c r="L4" s="20"/>
      <c r="M4" s="20">
        <v>16551</v>
      </c>
      <c r="N4" s="23">
        <v>33999</v>
      </c>
      <c r="O4" s="23"/>
    </row>
    <row r="5" spans="1:15" x14ac:dyDescent="0.45">
      <c r="A5" s="19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x14ac:dyDescent="0.4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x14ac:dyDescent="0.4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x14ac:dyDescent="0.45">
      <c r="A8" t="s">
        <v>15</v>
      </c>
      <c r="B8" s="23">
        <f>341*9*2</f>
        <v>6138</v>
      </c>
      <c r="C8" s="23">
        <v>13179</v>
      </c>
      <c r="D8" s="23">
        <f>3715.83*2</f>
        <v>7431.66</v>
      </c>
      <c r="E8" s="23">
        <f>5216*2</f>
        <v>10432</v>
      </c>
      <c r="F8" s="23">
        <f>768*9*2</f>
        <v>13824</v>
      </c>
      <c r="G8" s="23">
        <v>12451</v>
      </c>
      <c r="H8" s="23">
        <v>14710</v>
      </c>
      <c r="I8" s="23">
        <f>8922*2</f>
        <v>17844</v>
      </c>
      <c r="J8" s="23">
        <f>18689*3</f>
        <v>56067</v>
      </c>
      <c r="K8" s="23">
        <f>722.5*9</f>
        <v>6502.5</v>
      </c>
      <c r="L8" s="23">
        <v>18700</v>
      </c>
      <c r="M8" s="23">
        <f>4603.9*2</f>
        <v>9207.7999999999993</v>
      </c>
      <c r="N8" s="23">
        <f>757*9</f>
        <v>6813</v>
      </c>
      <c r="O8" s="23">
        <f>6087.24*2</f>
        <v>12174.48</v>
      </c>
    </row>
    <row r="9" spans="1:15" x14ac:dyDescent="0.45">
      <c r="A9" t="s">
        <v>16</v>
      </c>
      <c r="B9" s="23">
        <f>20+631+(11+6.25)*9</f>
        <v>806.25</v>
      </c>
      <c r="C9" s="23">
        <v>560</v>
      </c>
      <c r="D9" s="23">
        <f>710.23*2</f>
        <v>1420.46</v>
      </c>
      <c r="E9" s="23">
        <f>550.5*0.5</f>
        <v>275.25</v>
      </c>
      <c r="F9" s="23">
        <v>817.5</v>
      </c>
      <c r="G9" s="23">
        <v>164.19</v>
      </c>
      <c r="H9" s="23">
        <v>144</v>
      </c>
      <c r="I9" s="20">
        <f>18996-I8</f>
        <v>1152</v>
      </c>
      <c r="J9" s="23">
        <f>125*3</f>
        <v>375</v>
      </c>
      <c r="K9" s="20">
        <v>0</v>
      </c>
      <c r="L9" s="20">
        <v>0</v>
      </c>
      <c r="M9" s="23">
        <f>(94.1+161+117+20)*2</f>
        <v>784.2</v>
      </c>
      <c r="N9" s="23">
        <v>0</v>
      </c>
      <c r="O9" s="23">
        <f>726*2</f>
        <v>1452</v>
      </c>
    </row>
    <row r="10" spans="1:15" x14ac:dyDescent="0.45">
      <c r="A10" t="s">
        <v>17</v>
      </c>
      <c r="B10" s="20">
        <v>0</v>
      </c>
      <c r="C10" s="23">
        <v>1950</v>
      </c>
      <c r="D10" s="20">
        <v>0</v>
      </c>
      <c r="E10" s="20">
        <f>165+550.5*0.5</f>
        <v>440.25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3">
        <f>37.5+123+13.5+(23+9.3)*9</f>
        <v>464.7</v>
      </c>
      <c r="L10" s="23">
        <f>265*2</f>
        <v>530</v>
      </c>
      <c r="M10" s="20">
        <v>0</v>
      </c>
      <c r="N10" s="23">
        <f>371.5+78+158.5</f>
        <v>608</v>
      </c>
      <c r="O10" s="20">
        <v>0</v>
      </c>
    </row>
    <row r="11" spans="1:15" x14ac:dyDescent="0.45">
      <c r="A11" t="s">
        <v>18</v>
      </c>
      <c r="B11" s="23">
        <f>(1392.74+1930.42)*(1-0.79)</f>
        <v>697.86359999999991</v>
      </c>
      <c r="C11" s="23">
        <v>119.08</v>
      </c>
      <c r="D11" s="20">
        <v>0</v>
      </c>
      <c r="E11" s="23">
        <f>(407*12)*0.1</f>
        <v>488.40000000000003</v>
      </c>
      <c r="F11" s="23">
        <v>134.30000000000001</v>
      </c>
      <c r="G11" s="20">
        <v>0</v>
      </c>
      <c r="H11" s="20">
        <v>0</v>
      </c>
      <c r="I11" s="23">
        <f>152.82*2</f>
        <v>305.64</v>
      </c>
      <c r="J11" s="23">
        <v>4386</v>
      </c>
      <c r="K11" s="23">
        <f>(3366+842)*0.15</f>
        <v>631.19999999999993</v>
      </c>
      <c r="L11" s="20">
        <f>3336-L12</f>
        <v>406</v>
      </c>
      <c r="M11" s="23">
        <v>620</v>
      </c>
      <c r="N11" s="23">
        <v>0</v>
      </c>
      <c r="O11" s="23">
        <f>131*52/2</f>
        <v>3406</v>
      </c>
    </row>
    <row r="12" spans="1:15" x14ac:dyDescent="0.45">
      <c r="A12" t="s">
        <v>19</v>
      </c>
      <c r="B12" s="23">
        <f>(1392.74+1930.42)*0.79</f>
        <v>2625.2964000000002</v>
      </c>
      <c r="C12" s="23">
        <v>796.92</v>
      </c>
      <c r="D12" s="23">
        <f>1386.13+2017.51</f>
        <v>3403.6400000000003</v>
      </c>
      <c r="E12" s="20">
        <f>(407*12)*0.9</f>
        <v>4395.6000000000004</v>
      </c>
      <c r="F12" s="20">
        <v>0</v>
      </c>
      <c r="G12" s="23">
        <f>310*12</f>
        <v>3720</v>
      </c>
      <c r="H12" s="23">
        <f>1425*2</f>
        <v>2850</v>
      </c>
      <c r="I12" s="23">
        <f>483.89*2</f>
        <v>967.78</v>
      </c>
      <c r="J12" s="20">
        <v>0</v>
      </c>
      <c r="K12" s="23">
        <f>(3366+842)*0.85</f>
        <v>3576.7999999999997</v>
      </c>
      <c r="L12" s="23">
        <f>2669+261</f>
        <v>2930</v>
      </c>
      <c r="M12" s="23">
        <v>2101.1999999999998</v>
      </c>
      <c r="N12" s="23">
        <f>984+1363</f>
        <v>2347</v>
      </c>
      <c r="O12" s="20">
        <v>0</v>
      </c>
    </row>
    <row r="13" spans="1:15" x14ac:dyDescent="0.45">
      <c r="A13" t="s">
        <v>20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x14ac:dyDescent="0.4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x14ac:dyDescent="0.45">
      <c r="A15" t="s">
        <v>21</v>
      </c>
      <c r="B15" s="20">
        <f>B3+B8-B9+B10-B11+B12</f>
        <v>17869.182799999999</v>
      </c>
      <c r="C15" s="20">
        <f t="shared" ref="C15:M15" si="0">C3+C8-C9+C10-C11+C12</f>
        <v>25246.839999999997</v>
      </c>
      <c r="D15" s="20">
        <f t="shared" si="0"/>
        <v>24414.84</v>
      </c>
      <c r="E15" s="20">
        <f t="shared" si="0"/>
        <v>34806.199999999997</v>
      </c>
      <c r="F15" s="20">
        <f t="shared" si="0"/>
        <v>30372.2</v>
      </c>
      <c r="G15" s="20">
        <f t="shared" si="0"/>
        <v>39202.81</v>
      </c>
      <c r="H15" s="20">
        <f t="shared" si="0"/>
        <v>32976</v>
      </c>
      <c r="I15" s="20">
        <f t="shared" si="0"/>
        <v>34657.181666666671</v>
      </c>
      <c r="J15" s="20">
        <f t="shared" si="0"/>
        <v>80636</v>
      </c>
      <c r="K15" s="20">
        <f t="shared" si="0"/>
        <v>31192.799999999999</v>
      </c>
      <c r="L15" s="20">
        <f t="shared" si="0"/>
        <v>42544</v>
      </c>
      <c r="M15" s="20">
        <f t="shared" si="0"/>
        <v>23697.8</v>
      </c>
      <c r="N15" s="20">
        <f t="shared" ref="N15:O15" si="1">N3+N8-N9+N10-N11+N12</f>
        <v>39930</v>
      </c>
      <c r="O15" s="20">
        <f t="shared" si="1"/>
        <v>27816.48</v>
      </c>
    </row>
    <row r="16" spans="1:15" x14ac:dyDescent="0.45">
      <c r="A16" t="s">
        <v>22</v>
      </c>
      <c r="B16" s="20">
        <f>B3-B9-B11</f>
        <v>9105.8863999999994</v>
      </c>
      <c r="C16" s="20">
        <f t="shared" ref="C16:M16" si="2">C3-C9-C11</f>
        <v>9320.92</v>
      </c>
      <c r="D16" s="20">
        <f t="shared" si="2"/>
        <v>13579.54</v>
      </c>
      <c r="E16" s="20">
        <f t="shared" si="2"/>
        <v>19538.349999999999</v>
      </c>
      <c r="F16" s="20">
        <f t="shared" si="2"/>
        <v>16548.2</v>
      </c>
      <c r="G16" s="20">
        <f t="shared" si="2"/>
        <v>23031.81</v>
      </c>
      <c r="H16" s="20">
        <f t="shared" si="2"/>
        <v>15416</v>
      </c>
      <c r="I16" s="20">
        <f t="shared" si="2"/>
        <v>15845.401666666668</v>
      </c>
      <c r="J16" s="20">
        <f t="shared" si="2"/>
        <v>24569</v>
      </c>
      <c r="K16" s="20">
        <f t="shared" si="2"/>
        <v>20648.8</v>
      </c>
      <c r="L16" s="20">
        <f t="shared" si="2"/>
        <v>20384</v>
      </c>
      <c r="M16" s="20">
        <f t="shared" si="2"/>
        <v>12388.8</v>
      </c>
      <c r="N16" s="20">
        <f t="shared" ref="N16:O16" si="3">N3-N9-N11</f>
        <v>30162</v>
      </c>
      <c r="O16" s="20">
        <f t="shared" si="3"/>
        <v>15642</v>
      </c>
    </row>
    <row r="17" spans="1:15" x14ac:dyDescent="0.4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x14ac:dyDescent="0.45">
      <c r="A18" t="s">
        <v>23</v>
      </c>
      <c r="B18" s="20">
        <v>30617</v>
      </c>
      <c r="C18" s="20">
        <v>31163</v>
      </c>
      <c r="D18" s="20">
        <v>28633</v>
      </c>
      <c r="E18" s="20">
        <v>28187</v>
      </c>
      <c r="F18" s="20">
        <v>41222</v>
      </c>
      <c r="G18" s="20">
        <v>32489</v>
      </c>
      <c r="H18" s="20">
        <v>28038</v>
      </c>
      <c r="I18" s="20">
        <v>32545</v>
      </c>
      <c r="J18" s="20">
        <v>33953</v>
      </c>
      <c r="K18" s="20">
        <v>28921</v>
      </c>
      <c r="L18" s="20">
        <v>29387</v>
      </c>
      <c r="M18" s="20">
        <v>27964</v>
      </c>
      <c r="N18" s="20">
        <v>37147</v>
      </c>
      <c r="O18" s="20">
        <v>32255</v>
      </c>
    </row>
    <row r="19" spans="1:15" x14ac:dyDescent="0.4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x14ac:dyDescent="0.45">
      <c r="A20" t="s">
        <v>24</v>
      </c>
      <c r="B20" s="20">
        <f>B15*$B$18/B$18</f>
        <v>17869.182799999999</v>
      </c>
      <c r="C20" s="20">
        <f>C15*$B$18/C$18</f>
        <v>24804.495725058558</v>
      </c>
      <c r="D20" s="20">
        <f t="shared" ref="D20:O20" si="4">D15*$B$18/D$18</f>
        <v>26106.560831208742</v>
      </c>
      <c r="E20" s="20">
        <f t="shared" si="4"/>
        <v>37806.840933763786</v>
      </c>
      <c r="F20" s="20">
        <f t="shared" si="4"/>
        <v>22558.479632235212</v>
      </c>
      <c r="G20" s="20">
        <f t="shared" si="4"/>
        <v>36943.963611376159</v>
      </c>
      <c r="H20" s="20">
        <f t="shared" si="4"/>
        <v>36009.208645409803</v>
      </c>
      <c r="I20" s="20">
        <f t="shared" si="4"/>
        <v>32604.053805141604</v>
      </c>
      <c r="J20" s="20">
        <f t="shared" si="4"/>
        <v>72713.233351986564</v>
      </c>
      <c r="K20" s="20">
        <f t="shared" si="4"/>
        <v>33022.024051727123</v>
      </c>
      <c r="L20" s="20">
        <f t="shared" si="4"/>
        <v>44324.689420492054</v>
      </c>
      <c r="M20" s="20">
        <f t="shared" si="4"/>
        <v>25946.057166356746</v>
      </c>
      <c r="N20" s="20">
        <f t="shared" si="4"/>
        <v>32910.781758957652</v>
      </c>
      <c r="O20" s="20">
        <f t="shared" si="4"/>
        <v>26403.880581615253</v>
      </c>
    </row>
    <row r="21" spans="1:15" x14ac:dyDescent="0.45">
      <c r="A21" t="s">
        <v>25</v>
      </c>
      <c r="B21" s="20">
        <f>B16*$B$18/B$18</f>
        <v>9105.8863999999994</v>
      </c>
      <c r="C21" s="20">
        <f t="shared" ref="C21:O21" si="5">C16*$B$18/C$18</f>
        <v>9157.6102313641168</v>
      </c>
      <c r="D21" s="20">
        <f t="shared" si="5"/>
        <v>14520.475541508051</v>
      </c>
      <c r="E21" s="20">
        <f t="shared" si="5"/>
        <v>21222.750273175574</v>
      </c>
      <c r="F21" s="20">
        <f t="shared" si="5"/>
        <v>12290.918427053515</v>
      </c>
      <c r="G21" s="20">
        <f t="shared" si="5"/>
        <v>21704.728577980241</v>
      </c>
      <c r="H21" s="20">
        <f t="shared" si="5"/>
        <v>16833.99928668236</v>
      </c>
      <c r="I21" s="20">
        <f t="shared" si="5"/>
        <v>14906.703420750757</v>
      </c>
      <c r="J21" s="20">
        <f t="shared" si="5"/>
        <v>22155.010543987275</v>
      </c>
      <c r="K21" s="20">
        <f t="shared" si="5"/>
        <v>21859.697437847932</v>
      </c>
      <c r="L21" s="20">
        <f t="shared" si="5"/>
        <v>21237.17725524892</v>
      </c>
      <c r="M21" s="20">
        <f t="shared" si="5"/>
        <v>13564.149964239736</v>
      </c>
      <c r="N21" s="20">
        <f t="shared" si="5"/>
        <v>24859.879774948178</v>
      </c>
      <c r="O21" s="20">
        <f t="shared" si="5"/>
        <v>14847.655061230817</v>
      </c>
    </row>
  </sheetData>
  <hyperlinks>
    <hyperlink ref="B3" r:id="rId1" display="https://www.unl.edu/gradstudies/funding/assistantships" xr:uid="{84BF24B3-752B-4AA6-A7FE-D9C5F4C94635}"/>
    <hyperlink ref="B8" r:id="rId2" location="ay_res_block" display="https://studentaccounts.unl.edu/graduate-tuition - ay_res_block" xr:uid="{61D23121-5091-4054-9051-D7E506DA6459}"/>
    <hyperlink ref="B9" r:id="rId3" location="ay_res_block" display="https://studentaccounts.unl.edu/graduate-tuition - ay_res_block" xr:uid="{88346100-C6EF-47C4-907A-A4C74446FA5A}"/>
    <hyperlink ref="B11" r:id="rId4" location="ay_res_block" display="https://studentaccounts.unl.edu/graduate-tuition - ay_res_block" xr:uid="{97D10E53-C976-496A-9BA2-2CB58E69A5D6}"/>
    <hyperlink ref="B12" r:id="rId5" display="https://www.unl.edu/gradstudies/funding/assistantships" xr:uid="{5C8B3EF6-2FC1-4087-8E9A-7B850B72115D}"/>
    <hyperlink ref="C8" r:id="rId6" display="https://registrar.illinois.edu/tuition-fees/tuition-fee-rates/g-tuition-rates-2021/" xr:uid="{6C85C444-9F1D-480E-A49C-70EDF8E08C24}"/>
    <hyperlink ref="C3" r:id="rId7" location="grievance-policy" display="https://grad.illinois.edu/files/pdfs/handbook.pdf - grievance-policy" xr:uid="{4A793DD6-3149-40D3-A1E1-662073204742}"/>
    <hyperlink ref="C9:C12" r:id="rId8" location="grievance-policy" display="https://grad.illinois.edu/files/pdfs/handbook.pdf - grievance-policy" xr:uid="{939E9AE6-0664-491C-B509-5B978A597965}"/>
    <hyperlink ref="D3" r:id="rId9" display="https://vpfaa.indiana.edu/doc/graduate-student-academic-appointees-guide.pdf" xr:uid="{4F2B6DA8-C83D-4BC8-BC66-B66E169A80DB}"/>
    <hyperlink ref="D8" r:id="rId10" display="https://moneysmarts.iu.edu/calculate-costs/index.html?page=tuitionAndFees" xr:uid="{E3DEAEBD-AC18-403B-A57E-6D835090EBB3}"/>
    <hyperlink ref="D9" r:id="rId11" display="https://moneysmarts.iu.edu/calculate-costs/index.html?page=tuitionAndFees" xr:uid="{065BF246-D357-45EE-9F35-CAAAFE6B9BF6}"/>
    <hyperlink ref="D12" r:id="rId12" display="https://hr.iu.edu/benefits/GA-medical.html" xr:uid="{DBADD43E-4310-4475-B261-AADBFC1E9634}"/>
    <hyperlink ref="E3" r:id="rId13" display="https://grad.uiowa.edu/graduate-student-employment-agreement/wages" xr:uid="{72C1B588-294F-488D-9CCF-F07A758E425D}"/>
    <hyperlink ref="E8" r:id="rId14" display="https://www.maui.uiowa.edu/maui/pub/tuition/rates.page" xr:uid="{EF506A4A-35D1-47EE-8CDA-3E480696A6CC}"/>
    <hyperlink ref="E11" r:id="rId15" display="https://hr.uiowa.edu/benefits/ui-student-insurance/grad-students-and-health-science-majors-benefits/ship-and-uigradcare" xr:uid="{3FFF8414-E8F1-4C3D-84DF-1FA5340A50F1}"/>
    <hyperlink ref="E9" r:id="rId16" display="https://grad.uiowa.edu/graduate-student-employment-agreement/wages" xr:uid="{432C027A-114B-4430-877D-1CF33AD0A755}"/>
    <hyperlink ref="F3" r:id="rId17" display="https://gradschool.umd.edu/sites/gradschool.umd.edu/files/uploads/revised_fy22_grad_stipend_memo.pdf" xr:uid="{10476179-69ED-45B0-A928-E6A3D4AB0472}"/>
    <hyperlink ref="F8:F9" r:id="rId18" display="https://billpay.umd.edu/GraduateTuition" xr:uid="{28F76C3C-9098-4273-AEE3-8D47396C6202}"/>
    <hyperlink ref="F11" r:id="rId19" display="https://dbm.maryland.gov/benefits/Documents/CY22 10-month Employee Rates.pdf" xr:uid="{2A1B6C60-7140-4B56-92C9-2CD9576D8A56}"/>
    <hyperlink ref="G2" r:id="rId20" display="https://hr.umich.edu/sites/default/files/2021-2022-gsa-salary-memo.pdf" xr:uid="{25E81B49-9963-40C7-A678-7D75033C6C16}"/>
    <hyperlink ref="G12" r:id="rId21" display="https://hr.umich.edu/benefits-wellness/health-well-being/health-plans/gradcare" xr:uid="{172E2E99-394C-46B0-89DF-2CA3654D5402}"/>
    <hyperlink ref="G8" r:id="rId22" display="https://ro.umich.edu/tuition-residency/tuition-fees?academic_year=169&amp;college_school=141&amp;full_half_term=35&amp;level_of_study=38" xr:uid="{F035CC21-05F8-46A8-920D-EA43ADA3B3D2}"/>
    <hyperlink ref="G9" r:id="rId23" display="https://ro.umich.edu/tuition-residency/tuition-fees?academic_year=169&amp;college_school=141&amp;full_half_term=35&amp;level_of_study=38" xr:uid="{C552BA5A-D791-41E5-80D4-385EE2B0D4A8}"/>
    <hyperlink ref="H3" r:id="rId24" display="https://hr.msu.edu/employment/graduate-assistants/stipend-ranges.html" xr:uid="{85810EB9-A504-4A6B-99ED-6B5202C99B05}"/>
    <hyperlink ref="H8:H9" r:id="rId25" display="https://finaid.msu.edu/grad.asp" xr:uid="{60D5AC77-6592-4D20-9EA7-04D7B5C4CC1D}"/>
    <hyperlink ref="H12" r:id="rId26" display="https://hr.msu.edu/benefits/graduate-assistants/health/rates.html" xr:uid="{A95DCAE6-E713-4835-A7AD-114C608D3A47}"/>
    <hyperlink ref="I4" r:id="rId27" display="https://humanresources.umn.edu/sites/humanresources.umn.edu/files/academic_salary_floors_fy22.pdf" xr:uid="{5921A6BC-DCAA-486B-9EA2-92BE7741FEA8}"/>
    <hyperlink ref="I8" r:id="rId28" display="https://onestop.umn.edu/finances/tuition" xr:uid="{241DAD3B-0C20-434E-93F1-750C18F7A8A0}"/>
    <hyperlink ref="I11:I12" r:id="rId29" display="https://shb.umn.edu/graduate-assistants/gahp-costs" xr:uid="{02CB0A79-DEC3-4BAB-806A-4073DA400A86}"/>
    <hyperlink ref="J4" r:id="rId30" display="https://www.tgs.northwestern.edu/funding/" xr:uid="{0820A664-8AF7-4FA9-823E-2BC7847E4B0E}"/>
    <hyperlink ref="J8:J9" r:id="rId31" display="https://www.northwestern.edu/sfs/tuition/graduate/the-graduate-school.html" xr:uid="{9FAF61F0-F26C-4507-8AB7-75D3CE7A905D}"/>
    <hyperlink ref="J11" r:id="rId32" display="https://www.northwestern.edu/sfs/tuition/graduate/the-graduate-school.html" xr:uid="{61CDA30D-C8AF-4C11-82FC-F09488B995B3}"/>
    <hyperlink ref="K3" r:id="rId33" display="https://gradsch.osu.edu/graduate-associate-fellow-appointments" xr:uid="{021D1E32-50C3-4A69-B9EC-801666762CAC}"/>
    <hyperlink ref="K8" r:id="rId34" display="https://registrar.osu.edu/FeeTables/Graduate_Fees_for_Autumn_2021_Spring_2022_Summer_2022.pdf" xr:uid="{E163DC1A-2D12-4553-93C2-6FDD0253A92F}"/>
    <hyperlink ref="K10" r:id="rId35" display="https://registrar.osu.edu/FeeTables/Graduate_Fees_for_Autumn_2021_Spring_2022_Summer_2022.pdf" xr:uid="{78FAFC5E-6D3C-48A3-BE47-EE51BDCED9A9}"/>
    <hyperlink ref="K11:K12" r:id="rId36" display="https://shi.osu.edu/shi-benefits-plan/rates-dates-and-deadlines" xr:uid="{288938AF-6910-4161-B1CB-6D5E2208D738}"/>
    <hyperlink ref="L3" r:id="rId37" display="https://gradschool.psu.edu/graduate-school-funding/infoga/" xr:uid="{7B1A1E58-1861-4EE1-9B74-9751B55D3D56}"/>
    <hyperlink ref="L8" r:id="rId38" display="https://gradschool.psu.edu/graduate-school-funding/infoga/" xr:uid="{FA1CE333-EAA7-4A4F-B358-F9F8F27F90D1}"/>
    <hyperlink ref="L10" r:id="rId39" display="https://gradschool.psu.edu/graduate-school-funding/infoga/" xr:uid="{12D93609-9704-4738-A698-280BF807F1B6}"/>
    <hyperlink ref="L12" r:id="rId40" display="https://gradschool.psu.edu/graduate-school-funding/infoga/" xr:uid="{F8C126A6-03D8-4A94-8AE9-0A4437DD6BC9}"/>
    <hyperlink ref="M3" r:id="rId41" display="https://www.purdue.edu/gradschool/documents/gpo/graduate-student-employment-manual.pdf" xr:uid="{7E400A2D-061E-4747-901E-1ED11EB6BE92}"/>
    <hyperlink ref="M8:M9" r:id="rId42" display="https://www.purdue.edu/bursar/tuition/feerates/2020-2021/graduate/fall-spring.php" xr:uid="{27FAD049-6CC9-4C15-8250-D9961A14A6F9}"/>
    <hyperlink ref="M11:M12" r:id="rId43" display="https://www.purdue.edu/hr/Benefits/gradstaff/benefits-enrollment/pdf/Purdue_Grad_OE2021.pdf" xr:uid="{C1D63E87-D2F4-4263-AE1F-7E94C9F06C23}"/>
    <hyperlink ref="N3:N4" r:id="rId44" display="https://uhr.rutgers.edu/hr-professional/full-time-ta-and-ga-starting" xr:uid="{1FF6ED07-4C5C-411A-AE37-0CC77ABB252E}"/>
    <hyperlink ref="N8:N12" r:id="rId45" display="https://finance.rutgers.edu/sites/default/files/2021-10/2021-22 Camden Graduate 7-27-21.pdf" xr:uid="{2B7CD695-4B84-45E6-8C8B-69D4B9C8D905}"/>
    <hyperlink ref="O8:O9" r:id="rId46" display="https://bursar.wisc.edu/tuition-and-fees/tuition-rates" xr:uid="{713719DE-0A75-4FB8-AD75-5F6E9BD56BD8}"/>
    <hyperlink ref="O11" r:id="rId47" location="sgh" display="https://uwservice.wisconsin.edu/premiums/index.php - sgh" xr:uid="{C55E3FE3-A4C1-470F-BEDC-2229D02E37FB}"/>
  </hyperlinks>
  <pageMargins left="0.7" right="0.7" top="0.75" bottom="0.75" header="0.3" footer="0.3"/>
  <drawing r:id="rId48"/>
  <legacyDrawing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7A5A-7F8E-47D1-8975-93DBC88FFC5F}">
  <dimension ref="A1:P20"/>
  <sheetViews>
    <sheetView topLeftCell="D1" workbookViewId="0">
      <selection activeCell="H4" sqref="H4"/>
    </sheetView>
  </sheetViews>
  <sheetFormatPr defaultColWidth="9.1328125" defaultRowHeight="14.25" x14ac:dyDescent="0.45"/>
  <cols>
    <col min="1" max="1" width="39.73046875" style="4" customWidth="1"/>
    <col min="2" max="2" width="10.3984375" style="4" customWidth="1"/>
    <col min="3" max="3" width="11.3984375" style="4" customWidth="1"/>
    <col min="4" max="4" width="16.73046875" style="4" customWidth="1"/>
    <col min="5" max="5" width="9.1328125" style="4" customWidth="1"/>
    <col min="6" max="6" width="10.1328125" style="4" customWidth="1"/>
    <col min="7" max="7" width="11.86328125" style="4" customWidth="1"/>
    <col min="8" max="8" width="13.73046875" style="4" customWidth="1"/>
    <col min="9" max="9" width="10.3984375" style="4" customWidth="1"/>
    <col min="10" max="10" width="10.86328125" style="4" customWidth="1"/>
    <col min="11" max="13" width="10.3984375" style="4" customWidth="1"/>
    <col min="14" max="14" width="8" style="4" customWidth="1"/>
    <col min="15" max="15" width="10.3984375" style="4" customWidth="1"/>
    <col min="16" max="16384" width="9.1328125" style="4"/>
  </cols>
  <sheetData>
    <row r="1" spans="1:16" x14ac:dyDescent="0.45">
      <c r="A1" s="4" t="s">
        <v>26</v>
      </c>
    </row>
    <row r="2" spans="1:16" x14ac:dyDescent="0.45">
      <c r="B2" s="4" t="s">
        <v>0</v>
      </c>
      <c r="C2" s="4" t="s">
        <v>27</v>
      </c>
      <c r="D2" s="4" t="s">
        <v>2</v>
      </c>
      <c r="E2" s="4" t="s">
        <v>3</v>
      </c>
      <c r="F2" s="4" t="s">
        <v>28</v>
      </c>
      <c r="G2" s="4" t="s">
        <v>29</v>
      </c>
      <c r="H2" s="4" t="s">
        <v>30</v>
      </c>
      <c r="I2" s="4" t="s">
        <v>5</v>
      </c>
      <c r="J2" s="4" t="s">
        <v>6</v>
      </c>
      <c r="K2" s="4" t="s">
        <v>7</v>
      </c>
      <c r="L2" s="4" t="s">
        <v>8</v>
      </c>
      <c r="M2" s="4" t="s">
        <v>9</v>
      </c>
      <c r="N2" s="4" t="s">
        <v>31</v>
      </c>
      <c r="O2" s="4" t="s">
        <v>11</v>
      </c>
    </row>
    <row r="3" spans="1:16" x14ac:dyDescent="0.45">
      <c r="A3" s="4" t="s">
        <v>32</v>
      </c>
      <c r="B3" s="5">
        <v>10610</v>
      </c>
      <c r="C3" s="5">
        <v>10000</v>
      </c>
      <c r="D3" s="5">
        <v>15000</v>
      </c>
      <c r="E3" s="5">
        <v>20302</v>
      </c>
      <c r="F3" s="5">
        <v>17500</v>
      </c>
      <c r="G3" s="5">
        <v>23196</v>
      </c>
      <c r="H3" s="5">
        <v>17290</v>
      </c>
      <c r="I3" s="5">
        <v>28407.5</v>
      </c>
      <c r="J3" s="5">
        <v>29330</v>
      </c>
      <c r="K3" s="5">
        <v>21280</v>
      </c>
      <c r="L3" s="5">
        <v>20790</v>
      </c>
      <c r="M3" s="5">
        <v>13793</v>
      </c>
      <c r="N3" s="5">
        <v>28569</v>
      </c>
      <c r="O3" s="5">
        <v>20500</v>
      </c>
      <c r="P3" s="5"/>
    </row>
    <row r="4" spans="1:16" x14ac:dyDescent="0.45">
      <c r="A4" s="4" t="s">
        <v>33</v>
      </c>
      <c r="B4" s="5">
        <f>B3*12/10</f>
        <v>12732</v>
      </c>
      <c r="C4" s="5">
        <v>13333</v>
      </c>
      <c r="D4" s="5">
        <f>D3*12/10</f>
        <v>18000</v>
      </c>
      <c r="E4" s="5">
        <v>24804</v>
      </c>
      <c r="F4" s="5">
        <v>25000</v>
      </c>
      <c r="G4" s="5">
        <f>G3*12/10</f>
        <v>27835.200000000001</v>
      </c>
      <c r="H4" s="5">
        <f>H3*12/10</f>
        <v>20748</v>
      </c>
      <c r="I4" s="5">
        <v>34089</v>
      </c>
      <c r="J4" s="5">
        <v>35196</v>
      </c>
      <c r="K4" s="5">
        <v>28373</v>
      </c>
      <c r="L4" s="5">
        <f>L3*12/10</f>
        <v>24948</v>
      </c>
      <c r="M4" s="5">
        <v>16551</v>
      </c>
      <c r="N4" s="5">
        <v>32204</v>
      </c>
      <c r="O4" s="5">
        <v>24816</v>
      </c>
      <c r="P4" s="5"/>
    </row>
    <row r="5" spans="1:16" x14ac:dyDescent="0.45">
      <c r="A5" s="4" t="s">
        <v>34</v>
      </c>
      <c r="B5" s="5">
        <v>23359</v>
      </c>
      <c r="C5" s="5">
        <v>25257</v>
      </c>
      <c r="D5" s="5">
        <v>23665</v>
      </c>
      <c r="E5" s="5">
        <v>24216</v>
      </c>
      <c r="F5" s="5">
        <v>33461</v>
      </c>
      <c r="G5" s="5">
        <v>26579</v>
      </c>
      <c r="H5" s="5">
        <v>22940</v>
      </c>
      <c r="I5" s="5">
        <v>25711</v>
      </c>
      <c r="J5" s="5">
        <v>27519</v>
      </c>
      <c r="K5" s="5">
        <v>23970</v>
      </c>
      <c r="L5" s="5">
        <v>25287</v>
      </c>
      <c r="M5" s="5">
        <v>23112</v>
      </c>
      <c r="N5" s="5">
        <v>29982</v>
      </c>
      <c r="O5" s="5">
        <v>25733</v>
      </c>
      <c r="P5" s="5"/>
    </row>
    <row r="6" spans="1:16" x14ac:dyDescent="0.45">
      <c r="A6" s="4" t="s">
        <v>35</v>
      </c>
      <c r="B6" s="6">
        <f>B5-B4</f>
        <v>10627</v>
      </c>
      <c r="C6" s="6">
        <f t="shared" ref="C6:O6" si="0">C5-C4</f>
        <v>11924</v>
      </c>
      <c r="D6" s="6">
        <f t="shared" si="0"/>
        <v>5665</v>
      </c>
      <c r="E6" s="5">
        <f t="shared" si="0"/>
        <v>-588</v>
      </c>
      <c r="F6" s="6">
        <f t="shared" si="0"/>
        <v>8461</v>
      </c>
      <c r="G6" s="5">
        <f t="shared" si="0"/>
        <v>-1256.2000000000007</v>
      </c>
      <c r="H6" s="6">
        <f t="shared" si="0"/>
        <v>2192</v>
      </c>
      <c r="I6" s="5">
        <f t="shared" si="0"/>
        <v>-8378</v>
      </c>
      <c r="J6" s="5">
        <f t="shared" si="0"/>
        <v>-7677</v>
      </c>
      <c r="K6" s="5">
        <f t="shared" si="0"/>
        <v>-4403</v>
      </c>
      <c r="L6" s="6">
        <f t="shared" si="0"/>
        <v>339</v>
      </c>
      <c r="M6" s="6">
        <f t="shared" si="0"/>
        <v>6561</v>
      </c>
      <c r="N6" s="5">
        <f t="shared" si="0"/>
        <v>-2222</v>
      </c>
      <c r="O6" s="6">
        <f t="shared" si="0"/>
        <v>917</v>
      </c>
      <c r="P6" s="5"/>
    </row>
    <row r="7" spans="1:16" x14ac:dyDescent="0.45">
      <c r="A7" s="4" t="s">
        <v>16</v>
      </c>
      <c r="B7" s="5" t="s">
        <v>36</v>
      </c>
      <c r="C7" s="5">
        <v>441</v>
      </c>
      <c r="D7" s="14">
        <v>1420</v>
      </c>
      <c r="E7" s="14">
        <v>696</v>
      </c>
      <c r="F7" s="5">
        <v>817.5</v>
      </c>
      <c r="G7" s="9" t="s">
        <v>37</v>
      </c>
      <c r="H7" s="10">
        <v>0</v>
      </c>
      <c r="I7" s="14">
        <f>960*2</f>
        <v>1920</v>
      </c>
      <c r="J7" s="14" t="s">
        <v>38</v>
      </c>
      <c r="K7" s="14" t="s">
        <v>39</v>
      </c>
      <c r="L7" s="5">
        <v>530</v>
      </c>
      <c r="M7" s="8">
        <v>0.2</v>
      </c>
      <c r="N7" s="14">
        <v>2419</v>
      </c>
      <c r="O7" s="7">
        <v>505</v>
      </c>
      <c r="P7" s="5"/>
    </row>
    <row r="8" spans="1:16" x14ac:dyDescent="0.45">
      <c r="A8" s="4" t="s">
        <v>40</v>
      </c>
      <c r="B8" s="17" t="s">
        <v>41</v>
      </c>
      <c r="C8" s="17" t="s">
        <v>41</v>
      </c>
      <c r="D8" s="5">
        <v>0</v>
      </c>
      <c r="E8" s="5">
        <v>0</v>
      </c>
      <c r="F8" s="17" t="s">
        <v>41</v>
      </c>
      <c r="G8" s="11" t="s">
        <v>42</v>
      </c>
      <c r="H8" s="12">
        <v>1</v>
      </c>
      <c r="I8" s="12">
        <v>1</v>
      </c>
      <c r="J8" s="12">
        <v>1</v>
      </c>
      <c r="K8" s="5" t="s">
        <v>39</v>
      </c>
      <c r="L8" s="5">
        <v>18700</v>
      </c>
      <c r="M8" s="8">
        <v>0.8</v>
      </c>
      <c r="N8" s="5" t="s">
        <v>43</v>
      </c>
      <c r="O8" s="7">
        <v>12027</v>
      </c>
      <c r="P8" s="5"/>
    </row>
    <row r="9" spans="1:16" x14ac:dyDescent="0.45">
      <c r="A9" s="4" t="s">
        <v>44</v>
      </c>
      <c r="B9" s="5">
        <v>650</v>
      </c>
      <c r="C9" s="3">
        <v>119.08</v>
      </c>
      <c r="D9">
        <v>0</v>
      </c>
      <c r="E9" s="1">
        <v>0.1</v>
      </c>
      <c r="F9" s="5">
        <v>1694</v>
      </c>
      <c r="G9" s="10">
        <v>0</v>
      </c>
      <c r="H9" s="10">
        <v>0</v>
      </c>
      <c r="I9" s="5">
        <v>139.32</v>
      </c>
      <c r="J9" s="5">
        <v>0</v>
      </c>
      <c r="K9" s="2">
        <f>(3366+842)*0.15</f>
        <v>631.19999999999993</v>
      </c>
      <c r="L9" s="14">
        <v>3393</v>
      </c>
      <c r="M9" s="5">
        <v>620.79999999999995</v>
      </c>
      <c r="N9" s="14">
        <v>0</v>
      </c>
      <c r="O9" s="7">
        <v>231</v>
      </c>
      <c r="P9" s="5"/>
    </row>
    <row r="10" spans="1:16" x14ac:dyDescent="0.45">
      <c r="A10" s="4" t="s">
        <v>45</v>
      </c>
      <c r="B10" s="17" t="s">
        <v>41</v>
      </c>
      <c r="C10" s="17" t="s">
        <v>41</v>
      </c>
      <c r="D10" s="1" t="s">
        <v>46</v>
      </c>
      <c r="E10" s="1">
        <v>0.9</v>
      </c>
      <c r="F10" s="17" t="s">
        <v>41</v>
      </c>
      <c r="G10" s="11" t="s">
        <v>47</v>
      </c>
      <c r="H10" s="12">
        <v>1</v>
      </c>
      <c r="I10" s="5">
        <v>0</v>
      </c>
      <c r="J10" s="14">
        <v>4386</v>
      </c>
      <c r="K10" s="2">
        <f>(3366+842)*0.85</f>
        <v>3576.7999999999997</v>
      </c>
      <c r="L10" s="5">
        <v>2669</v>
      </c>
      <c r="M10" s="5">
        <v>2101</v>
      </c>
      <c r="N10" s="5">
        <v>2347</v>
      </c>
      <c r="O10" s="5">
        <v>1057</v>
      </c>
      <c r="P10" s="5"/>
    </row>
    <row r="11" spans="1:16" ht="15.4" x14ac:dyDescent="0.45">
      <c r="A11" s="4" t="s">
        <v>48</v>
      </c>
      <c r="B11" s="5">
        <v>750</v>
      </c>
      <c r="C11" s="17" t="s">
        <v>41</v>
      </c>
      <c r="D11" s="5">
        <v>550</v>
      </c>
      <c r="E11" s="14">
        <v>150</v>
      </c>
      <c r="F11" s="17" t="s">
        <v>41</v>
      </c>
      <c r="G11" s="13">
        <v>6894</v>
      </c>
      <c r="H11" s="13">
        <v>2331</v>
      </c>
      <c r="I11" s="5">
        <v>300</v>
      </c>
      <c r="J11" s="5">
        <v>200</v>
      </c>
      <c r="K11" s="5" t="s">
        <v>39</v>
      </c>
      <c r="L11" s="18" t="s">
        <v>41</v>
      </c>
      <c r="M11" s="5">
        <v>1018</v>
      </c>
      <c r="N11" s="14" t="s">
        <v>49</v>
      </c>
      <c r="O11" s="5">
        <v>367</v>
      </c>
      <c r="P11" s="5"/>
    </row>
    <row r="12" spans="1:16" s="16" customFormat="1" x14ac:dyDescent="0.45">
      <c r="A12" s="16" t="s">
        <v>50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6" customFormat="1" x14ac:dyDescent="0.45">
      <c r="A13" s="16" t="s">
        <v>51</v>
      </c>
      <c r="B13" s="17" t="s">
        <v>52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16" customFormat="1" x14ac:dyDescent="0.45">
      <c r="A14" s="16" t="s">
        <v>53</v>
      </c>
      <c r="B14" s="17" t="s">
        <v>52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x14ac:dyDescent="0.45">
      <c r="A15" s="4" t="s">
        <v>54</v>
      </c>
      <c r="B15" s="14" t="s">
        <v>55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16" customFormat="1" x14ac:dyDescent="0.45">
      <c r="A16" s="16" t="s">
        <v>56</v>
      </c>
      <c r="B16" s="17" t="s">
        <v>52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x14ac:dyDescent="0.4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9" spans="1:16" x14ac:dyDescent="0.45">
      <c r="A19" s="4" t="s">
        <v>57</v>
      </c>
    </row>
    <row r="20" spans="1:16" x14ac:dyDescent="0.45">
      <c r="A20" s="4" t="s">
        <v>58</v>
      </c>
      <c r="G20" s="9" t="s">
        <v>59</v>
      </c>
      <c r="H20" s="9" t="s">
        <v>60</v>
      </c>
      <c r="N20" s="15" t="s">
        <v>61</v>
      </c>
    </row>
  </sheetData>
  <hyperlinks>
    <hyperlink ref="G7" r:id="rId1" xr:uid="{13B9A7A7-897F-430C-A8DA-07292F01DDCC}"/>
    <hyperlink ref="H7" r:id="rId2" location="s358" display="0.00%" xr:uid="{E53A11CF-D6A2-41FA-86D4-AA9A6B44C793}"/>
    <hyperlink ref="G9" r:id="rId3" display="0.00%" xr:uid="{5663F276-DED6-4FAC-A8C9-F4244F3F6B68}"/>
    <hyperlink ref="H9" r:id="rId4" location="s358" display="0.00%" xr:uid="{8BD2B94A-A817-4CAC-920E-82ED862C6C99}"/>
    <hyperlink ref="G11" r:id="rId5" display="$6,894 " xr:uid="{FA170EDE-0C2F-4C2D-8AC8-C160AD0FBEAC}"/>
    <hyperlink ref="H11" r:id="rId6" location=":~:text=The%202021%2D22%20Graduate%20Assistant,%242%2C331%20per%20semester%20for%20Summer." display="$2,331 " xr:uid="{6EF587B8-77E5-4DF9-9B02-27C50766BAE5}"/>
    <hyperlink ref="G20" r:id="rId7" xr:uid="{11CF9F5B-FF71-484F-8171-7F3201C5A8A1}"/>
    <hyperlink ref="H20" r:id="rId8" xr:uid="{FA6D951D-7008-4966-9EF8-7BB11A45F1F2}"/>
    <hyperlink ref="B15" r:id="rId9" location=":~:text=Personal%20Finance-,Average%20family%20premiums%20for%20employer%2Dbased%20health%20insurance%20have%20jumped,outpacing%20wage%20growth%20and%20inflation&amp;text=While%20average%20premiums%20are%20up,an%20average%20%241%2C669%20from%20%24991." xr:uid="{8F42C83D-39E3-4F88-B7D8-B66EB9FEA199}"/>
    <hyperlink ref="N11" r:id="rId10" xr:uid="{A3FF4F59-A0F0-4CCE-BD53-0E6E68DAFF11}"/>
    <hyperlink ref="N20" r:id="rId11" xr:uid="{5E9B6324-1DB1-4E28-987B-2DDEF4BA6276}"/>
    <hyperlink ref="N7" r:id="rId12" display="$2,419" xr:uid="{1E500898-3220-4D4D-9573-1AE12EFF57D7}"/>
    <hyperlink ref="N9" r:id="rId13" display="$0" xr:uid="{C0B8CC26-6A79-4392-997E-1C5CD9B96EA3}"/>
    <hyperlink ref="J7" r:id="rId14" display="$550" xr:uid="{B544F3E0-2AEF-46E0-A119-F8E5EB51E24E}"/>
    <hyperlink ref="J10" r:id="rId15" display="$4,386" xr:uid="{477CEAE3-A2AE-45F6-ADA9-9E9AD8CC5C55}"/>
    <hyperlink ref="K7" r:id="rId16" xr:uid="{E80E25E2-0A67-4781-A3AC-94AA8598F639}"/>
    <hyperlink ref="I7" r:id="rId17" display="$1,149" xr:uid="{DF91B339-CE00-4FBD-B28C-0B168A5C591D}"/>
    <hyperlink ref="L9" r:id="rId18" display="$3,393" xr:uid="{4767D170-DAC7-4CFA-8525-4D38F698E101}"/>
    <hyperlink ref="D7" r:id="rId19" display="$1,420" xr:uid="{093504B2-1F42-4F91-A7B2-E7DAEDB92F50}"/>
    <hyperlink ref="E7" r:id="rId20" display="$696" xr:uid="{A897BD31-949E-4305-89A1-207D225A324D}"/>
    <hyperlink ref="E11" r:id="rId21" display="$150" xr:uid="{D205F395-5F48-4B26-93F8-349D088C7D8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B879-D5C1-46AD-8958-78D06D8954C5}">
  <dimension ref="A1:E15"/>
  <sheetViews>
    <sheetView tabSelected="1" workbookViewId="0">
      <selection activeCell="H6" sqref="H6"/>
    </sheetView>
  </sheetViews>
  <sheetFormatPr defaultRowHeight="14.25" x14ac:dyDescent="0.45"/>
  <cols>
    <col min="1" max="1" width="14.796875" bestFit="1" customWidth="1"/>
    <col min="2" max="2" width="18.9296875" customWidth="1"/>
    <col min="3" max="3" width="23.53125" customWidth="1"/>
    <col min="4" max="4" width="28.73046875" customWidth="1"/>
    <col min="5" max="5" width="25.265625" customWidth="1"/>
  </cols>
  <sheetData>
    <row r="1" spans="1:5" x14ac:dyDescent="0.45">
      <c r="A1" t="s">
        <v>64</v>
      </c>
      <c r="B1" t="s">
        <v>21</v>
      </c>
      <c r="C1" t="s">
        <v>22</v>
      </c>
      <c r="D1" t="s">
        <v>24</v>
      </c>
      <c r="E1" t="s">
        <v>25</v>
      </c>
    </row>
    <row r="2" spans="1:5" x14ac:dyDescent="0.45">
      <c r="A2" s="22" t="s">
        <v>0</v>
      </c>
      <c r="B2" s="22">
        <v>17869.182799999999</v>
      </c>
      <c r="C2" s="22">
        <v>9105.8863999999994</v>
      </c>
      <c r="D2" s="22">
        <v>17869.182799999999</v>
      </c>
      <c r="E2" s="22">
        <v>9105.8863999999994</v>
      </c>
    </row>
    <row r="3" spans="1:5" x14ac:dyDescent="0.45">
      <c r="A3" s="22" t="s">
        <v>1</v>
      </c>
      <c r="B3" s="22">
        <v>25246.839999999997</v>
      </c>
      <c r="C3" s="22">
        <v>9320.92</v>
      </c>
      <c r="D3" s="22">
        <v>24804.495725058558</v>
      </c>
      <c r="E3" s="22">
        <v>9157.6102313641168</v>
      </c>
    </row>
    <row r="4" spans="1:5" x14ac:dyDescent="0.45">
      <c r="A4" s="22" t="s">
        <v>67</v>
      </c>
      <c r="B4" s="22">
        <v>30372.2</v>
      </c>
      <c r="C4" s="22">
        <v>16548.2</v>
      </c>
      <c r="D4" s="22">
        <v>22558.479632235212</v>
      </c>
      <c r="E4" s="22">
        <v>12290.918427053515</v>
      </c>
    </row>
    <row r="5" spans="1:5" x14ac:dyDescent="0.45">
      <c r="A5" s="22" t="s">
        <v>69</v>
      </c>
      <c r="B5" s="22">
        <v>23697.8</v>
      </c>
      <c r="C5" s="22">
        <v>12388.8</v>
      </c>
      <c r="D5" s="22">
        <v>25946.057166356746</v>
      </c>
      <c r="E5" s="22">
        <v>13564.149964239736</v>
      </c>
    </row>
    <row r="6" spans="1:5" x14ac:dyDescent="0.45">
      <c r="A6" s="22" t="s">
        <v>2</v>
      </c>
      <c r="B6" s="22">
        <v>24414.84</v>
      </c>
      <c r="C6" s="22">
        <v>13579.54</v>
      </c>
      <c r="D6" s="22">
        <v>26106.560831208742</v>
      </c>
      <c r="E6" s="22">
        <v>14520.475541508051</v>
      </c>
    </row>
    <row r="7" spans="1:5" x14ac:dyDescent="0.45">
      <c r="A7" s="22" t="s">
        <v>63</v>
      </c>
      <c r="B7" s="22">
        <v>27816.48</v>
      </c>
      <c r="C7" s="22">
        <v>15642</v>
      </c>
      <c r="D7" s="22">
        <v>26403.880581615253</v>
      </c>
      <c r="E7" s="22">
        <v>14847.655061230817</v>
      </c>
    </row>
    <row r="8" spans="1:5" x14ac:dyDescent="0.45">
      <c r="A8" s="22" t="s">
        <v>5</v>
      </c>
      <c r="B8" s="22">
        <v>34657.181666666671</v>
      </c>
      <c r="C8" s="22">
        <v>15845.401666666668</v>
      </c>
      <c r="D8" s="22">
        <v>32604.053805141604</v>
      </c>
      <c r="E8" s="22">
        <v>14906.703420750757</v>
      </c>
    </row>
    <row r="9" spans="1:5" x14ac:dyDescent="0.45">
      <c r="A9" s="22" t="s">
        <v>4</v>
      </c>
      <c r="B9" s="22">
        <v>32976</v>
      </c>
      <c r="C9" s="22">
        <v>15416</v>
      </c>
      <c r="D9" s="22">
        <v>36009.208645409803</v>
      </c>
      <c r="E9" s="22">
        <v>16833.99928668236</v>
      </c>
    </row>
    <row r="10" spans="1:5" x14ac:dyDescent="0.45">
      <c r="A10" s="22" t="s">
        <v>68</v>
      </c>
      <c r="B10" s="22">
        <v>34806.199999999997</v>
      </c>
      <c r="C10" s="22">
        <v>19538.349999999999</v>
      </c>
      <c r="D10" s="22">
        <v>37806.840933763786</v>
      </c>
      <c r="E10" s="22">
        <v>21222.750273175574</v>
      </c>
    </row>
    <row r="11" spans="1:5" x14ac:dyDescent="0.45">
      <c r="A11" s="22" t="s">
        <v>8</v>
      </c>
      <c r="B11" s="22">
        <v>42544</v>
      </c>
      <c r="C11" s="22">
        <v>20384</v>
      </c>
      <c r="D11" s="22">
        <v>44325</v>
      </c>
      <c r="E11" s="22">
        <v>21237</v>
      </c>
    </row>
    <row r="12" spans="1:5" x14ac:dyDescent="0.45">
      <c r="A12" s="22" t="s">
        <v>66</v>
      </c>
      <c r="B12" s="22">
        <v>39202.81</v>
      </c>
      <c r="C12" s="22">
        <v>23031.81</v>
      </c>
      <c r="D12" s="22">
        <v>36943.963611376159</v>
      </c>
      <c r="E12" s="22">
        <v>21704.728577980241</v>
      </c>
    </row>
    <row r="13" spans="1:5" x14ac:dyDescent="0.45">
      <c r="A13" s="22" t="s">
        <v>62</v>
      </c>
      <c r="B13" s="22">
        <v>31192.799999999999</v>
      </c>
      <c r="C13" s="22">
        <v>20648.8</v>
      </c>
      <c r="D13" s="22">
        <v>33022.024051727123</v>
      </c>
      <c r="E13" s="22">
        <v>21859.697437847932</v>
      </c>
    </row>
    <row r="14" spans="1:5" x14ac:dyDescent="0.45">
      <c r="A14" s="22" t="s">
        <v>6</v>
      </c>
      <c r="B14" s="22">
        <v>80636</v>
      </c>
      <c r="C14" s="22">
        <v>24569</v>
      </c>
      <c r="D14" s="22">
        <v>72713.233351986564</v>
      </c>
      <c r="E14" s="22">
        <v>22155.010543987275</v>
      </c>
    </row>
    <row r="15" spans="1:5" x14ac:dyDescent="0.45">
      <c r="A15" s="22" t="s">
        <v>10</v>
      </c>
      <c r="B15" s="22">
        <v>39930</v>
      </c>
      <c r="C15" s="22">
        <v>30162</v>
      </c>
      <c r="D15" s="22">
        <v>32910.781758957652</v>
      </c>
      <c r="E15" s="22">
        <v>24859.879774948178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94954575F6E49ACB2E53069A4A1BD" ma:contentTypeVersion="9" ma:contentTypeDescription="Create a new document." ma:contentTypeScope="" ma:versionID="a499b10692ce334372ebd260dd9fd063">
  <xsd:schema xmlns:xsd="http://www.w3.org/2001/XMLSchema" xmlns:xs="http://www.w3.org/2001/XMLSchema" xmlns:p="http://schemas.microsoft.com/office/2006/metadata/properties" xmlns:ns2="3789991e-b8ab-45cf-8b20-b1f072e58f63" targetNamespace="http://schemas.microsoft.com/office/2006/metadata/properties" ma:root="true" ma:fieldsID="c643e394ea764a33e59f26e7f5842fbd" ns2:_="">
    <xsd:import namespace="3789991e-b8ab-45cf-8b20-b1f072e58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9991e-b8ab-45cf-8b20-b1f072e58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6AD280-EBE2-4135-99E0-ECC0D51AAE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D2BA19-3790-459A-A97E-AF2A9E973BEA}"/>
</file>

<file path=customXml/itemProps3.xml><?xml version="1.0" encoding="utf-8"?>
<ds:datastoreItem xmlns:ds="http://schemas.openxmlformats.org/officeDocument/2006/customXml" ds:itemID="{71BE5B7A-36D8-4C49-BD2E-988661A3B938}">
  <ds:schemaRefs>
    <ds:schemaRef ds:uri="http://schemas.microsoft.com/office/2006/metadata/properties"/>
    <ds:schemaRef ds:uri="http://schemas.openxmlformats.org/package/2006/metadata/core-properties"/>
    <ds:schemaRef ds:uri="0c2af245-7aed-43bf-afd5-7ec3c57bf9d6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Donesky</cp:lastModifiedBy>
  <cp:revision/>
  <dcterms:created xsi:type="dcterms:W3CDTF">2022-01-24T15:17:18Z</dcterms:created>
  <dcterms:modified xsi:type="dcterms:W3CDTF">2022-02-01T23:59:30Z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0x010100A3B94954575F6E49ACB2E53069A4A1BD</vt:lpwstr>
  </property>
</Properties>
</file>